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enkt\Documents\Offline Records (33)\Environmental Security(2)\"/>
    </mc:Choice>
  </mc:AlternateContent>
  <bookViews>
    <workbookView xWindow="-105" yWindow="-105" windowWidth="41490" windowHeight="16890" tabRatio="791" activeTab="9"/>
  </bookViews>
  <sheets>
    <sheet name="Introduction" sheetId="55" r:id="rId1"/>
    <sheet name="Summary" sheetId="4" r:id="rId2"/>
    <sheet name="Unit Rates" sheetId="5" r:id="rId3"/>
    <sheet name="Inputs --&gt;" sheetId="1" r:id="rId4"/>
    <sheet name="Title_01" sheetId="43" r:id="rId5"/>
    <sheet name="Title_02" sheetId="94" r:id="rId6"/>
    <sheet name="Title_03" sheetId="95" r:id="rId7"/>
    <sheet name="Title_04" sheetId="96" r:id="rId8"/>
    <sheet name="Title_05" sheetId="97" r:id="rId9"/>
    <sheet name="Title_06" sheetId="98" r:id="rId10"/>
  </sheets>
  <definedNames>
    <definedName name="_xlnm.Print_Area" localSheetId="0">Introduction!$A$1:$J$35</definedName>
    <definedName name="_xlnm.Print_Area" localSheetId="4">Title_01!$B$1:$L$211</definedName>
    <definedName name="_xlnm.Print_Area" localSheetId="5">Title_02!$B$1:$L$211</definedName>
    <definedName name="_xlnm.Print_Area" localSheetId="6">Title_03!$B$1:$L$211</definedName>
    <definedName name="_xlnm.Print_Area" localSheetId="7">Title_04!$B$1:$L$211</definedName>
    <definedName name="_xlnm.Print_Area" localSheetId="8">Title_05!$B$1:$L$211</definedName>
    <definedName name="_xlnm.Print_Area" localSheetId="9">Title_06!$B$1:$L$211</definedName>
    <definedName name="_xlnm.Print_Area" localSheetId="2">'Unit Rates'!$A$1:$G$68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7" i="98" l="1"/>
  <c r="I207" i="98"/>
  <c r="H207" i="98"/>
  <c r="G207" i="98"/>
  <c r="F207" i="98"/>
  <c r="J207" i="97"/>
  <c r="I207" i="97"/>
  <c r="H207" i="97"/>
  <c r="G207" i="97"/>
  <c r="F207" i="97"/>
  <c r="J207" i="96"/>
  <c r="I207" i="96"/>
  <c r="H207" i="96"/>
  <c r="G207" i="96"/>
  <c r="F207" i="96"/>
  <c r="J207" i="95"/>
  <c r="I207" i="95"/>
  <c r="H207" i="95"/>
  <c r="G207" i="95"/>
  <c r="F207" i="95"/>
  <c r="J207" i="94"/>
  <c r="I207" i="94"/>
  <c r="H207" i="94"/>
  <c r="G207" i="94"/>
  <c r="F207" i="94"/>
  <c r="J207" i="43"/>
  <c r="I207" i="43"/>
  <c r="H207" i="43"/>
  <c r="G207" i="43"/>
  <c r="F207" i="43"/>
  <c r="B1" i="5" l="1" a="1"/>
  <c r="B1" i="5" s="1"/>
  <c r="B1" i="4" a="1"/>
  <c r="B1" i="4" s="1"/>
  <c r="C201" i="98"/>
  <c r="J198" i="98"/>
  <c r="I198" i="98"/>
  <c r="H198" i="98"/>
  <c r="G198" i="98"/>
  <c r="F198" i="98"/>
  <c r="C195" i="98"/>
  <c r="C187" i="98"/>
  <c r="C179" i="98"/>
  <c r="B167" i="98"/>
  <c r="C207" i="98" s="1"/>
  <c r="B166" i="98"/>
  <c r="B165" i="98"/>
  <c r="B164" i="98"/>
  <c r="C204" i="98" s="1"/>
  <c r="B163" i="98"/>
  <c r="C203" i="98" s="1"/>
  <c r="B162" i="98"/>
  <c r="B161" i="98"/>
  <c r="B160" i="98"/>
  <c r="C200" i="98" s="1"/>
  <c r="B159" i="98"/>
  <c r="B158" i="98"/>
  <c r="B157" i="98"/>
  <c r="C197" i="98" s="1"/>
  <c r="B156" i="98"/>
  <c r="C196" i="98" s="1"/>
  <c r="B155" i="98"/>
  <c r="B154" i="98"/>
  <c r="B153" i="98"/>
  <c r="B152" i="98"/>
  <c r="B151" i="98"/>
  <c r="C191" i="98" s="1"/>
  <c r="B150" i="98"/>
  <c r="B149" i="98"/>
  <c r="C189" i="98" s="1"/>
  <c r="B148" i="98"/>
  <c r="C188" i="98" s="1"/>
  <c r="B147" i="98"/>
  <c r="B146" i="98"/>
  <c r="B145" i="98"/>
  <c r="B144" i="98"/>
  <c r="B143" i="98"/>
  <c r="C183" i="98" s="1"/>
  <c r="B142" i="98"/>
  <c r="B141" i="98"/>
  <c r="C181" i="98" s="1"/>
  <c r="B140" i="98"/>
  <c r="C180" i="98" s="1"/>
  <c r="B139" i="98"/>
  <c r="B138" i="98"/>
  <c r="B137" i="98"/>
  <c r="B136" i="98"/>
  <c r="C176" i="98" s="1"/>
  <c r="B135" i="98"/>
  <c r="C175" i="98" s="1"/>
  <c r="B134" i="98"/>
  <c r="B133" i="98"/>
  <c r="C173" i="98" s="1"/>
  <c r="Q130" i="98"/>
  <c r="R129" i="98"/>
  <c r="P129" i="98"/>
  <c r="B169" i="98" s="1"/>
  <c r="O129" i="98"/>
  <c r="N129" i="98"/>
  <c r="R128" i="98"/>
  <c r="P128" i="98"/>
  <c r="B168" i="98" s="1"/>
  <c r="O128" i="98"/>
  <c r="N128" i="98"/>
  <c r="P127" i="98"/>
  <c r="O127" i="98"/>
  <c r="N127" i="98"/>
  <c r="O126" i="98"/>
  <c r="N126" i="98"/>
  <c r="J126" i="98"/>
  <c r="I126" i="98"/>
  <c r="H126" i="98"/>
  <c r="G126" i="98"/>
  <c r="F126" i="98"/>
  <c r="P125" i="98"/>
  <c r="O125" i="98"/>
  <c r="N125" i="98"/>
  <c r="P124" i="98"/>
  <c r="O124" i="98"/>
  <c r="N124" i="98"/>
  <c r="P123" i="98"/>
  <c r="N123" i="98"/>
  <c r="P126" i="98" s="1"/>
  <c r="R122" i="98"/>
  <c r="P122" i="98"/>
  <c r="O122" i="98"/>
  <c r="O123" i="98" s="1"/>
  <c r="N122" i="98"/>
  <c r="R121" i="98"/>
  <c r="P121" i="98"/>
  <c r="O121" i="98"/>
  <c r="N121" i="98"/>
  <c r="J121" i="98"/>
  <c r="I121" i="98"/>
  <c r="H121" i="98"/>
  <c r="G121" i="98"/>
  <c r="F121" i="98"/>
  <c r="R120" i="98"/>
  <c r="P120" i="98"/>
  <c r="O120" i="98"/>
  <c r="N120" i="98"/>
  <c r="R119" i="98"/>
  <c r="P119" i="98"/>
  <c r="O119" i="98"/>
  <c r="N119" i="98"/>
  <c r="R118" i="98"/>
  <c r="P118" i="98"/>
  <c r="N118" i="98"/>
  <c r="R117" i="98"/>
  <c r="P117" i="98"/>
  <c r="O117" i="98"/>
  <c r="O118" i="98" s="1"/>
  <c r="N117" i="98"/>
  <c r="R116" i="98"/>
  <c r="O116" i="98"/>
  <c r="N116" i="98"/>
  <c r="J116" i="98"/>
  <c r="I116" i="98"/>
  <c r="H116" i="98"/>
  <c r="G116" i="98"/>
  <c r="F116" i="98"/>
  <c r="R115" i="98"/>
  <c r="P115" i="98"/>
  <c r="O115" i="98"/>
  <c r="N115" i="98"/>
  <c r="R114" i="98"/>
  <c r="P114" i="98"/>
  <c r="O114" i="98"/>
  <c r="N114" i="98"/>
  <c r="R113" i="98"/>
  <c r="P113" i="98"/>
  <c r="N113" i="98"/>
  <c r="P116" i="98" s="1"/>
  <c r="R112" i="98"/>
  <c r="P112" i="98"/>
  <c r="O112" i="98"/>
  <c r="O113" i="98" s="1"/>
  <c r="N112" i="98"/>
  <c r="R111" i="98"/>
  <c r="O111" i="98"/>
  <c r="N111" i="98"/>
  <c r="J111" i="98"/>
  <c r="I111" i="98"/>
  <c r="H111" i="98"/>
  <c r="G111" i="98"/>
  <c r="F111" i="98"/>
  <c r="R110" i="98"/>
  <c r="P110" i="98"/>
  <c r="O110" i="98"/>
  <c r="N110" i="98"/>
  <c r="R109" i="98"/>
  <c r="P109" i="98"/>
  <c r="O109" i="98"/>
  <c r="N109" i="98"/>
  <c r="R108" i="98"/>
  <c r="P108" i="98"/>
  <c r="O108" i="98"/>
  <c r="N108" i="98"/>
  <c r="R107" i="98"/>
  <c r="P107" i="98"/>
  <c r="N107" i="98"/>
  <c r="P111" i="98" s="1"/>
  <c r="R106" i="98"/>
  <c r="O106" i="98"/>
  <c r="N106" i="98"/>
  <c r="R105" i="98"/>
  <c r="O105" i="98"/>
  <c r="P105" i="98" s="1"/>
  <c r="N105" i="98"/>
  <c r="R104" i="98"/>
  <c r="O104" i="98"/>
  <c r="P104" i="98" s="1"/>
  <c r="N104" i="98"/>
  <c r="R101" i="98"/>
  <c r="P101" i="98"/>
  <c r="O101" i="98"/>
  <c r="N101" i="98"/>
  <c r="J101" i="98"/>
  <c r="I101" i="98"/>
  <c r="H101" i="98"/>
  <c r="G101" i="98"/>
  <c r="F101" i="98"/>
  <c r="R100" i="98"/>
  <c r="P100" i="98"/>
  <c r="O100" i="98"/>
  <c r="N100" i="98"/>
  <c r="R99" i="98"/>
  <c r="P99" i="98"/>
  <c r="O99" i="98"/>
  <c r="N99" i="98"/>
  <c r="R98" i="98"/>
  <c r="P98" i="98"/>
  <c r="O98" i="98"/>
  <c r="N98" i="98"/>
  <c r="R97" i="98"/>
  <c r="J97" i="98"/>
  <c r="I97" i="98"/>
  <c r="H97" i="98"/>
  <c r="G97" i="98"/>
  <c r="F97" i="98"/>
  <c r="R96" i="98"/>
  <c r="P96" i="98"/>
  <c r="R95" i="98"/>
  <c r="P95" i="98"/>
  <c r="N95" i="98"/>
  <c r="N96" i="98" s="1"/>
  <c r="N97" i="98" s="1"/>
  <c r="P97" i="98" s="1"/>
  <c r="R94" i="98"/>
  <c r="P94" i="98"/>
  <c r="O94" i="98"/>
  <c r="O95" i="98" s="1"/>
  <c r="O96" i="98" s="1"/>
  <c r="O97" i="98" s="1"/>
  <c r="R93" i="98"/>
  <c r="P93" i="98"/>
  <c r="O93" i="98"/>
  <c r="N93" i="98"/>
  <c r="N94" i="98" s="1"/>
  <c r="R92" i="98"/>
  <c r="P92" i="98"/>
  <c r="O92" i="98"/>
  <c r="N92" i="98"/>
  <c r="R91" i="98"/>
  <c r="O91" i="98"/>
  <c r="N91" i="98"/>
  <c r="R90" i="98"/>
  <c r="J90" i="98"/>
  <c r="I90" i="98"/>
  <c r="H90" i="98"/>
  <c r="G90" i="98"/>
  <c r="F90" i="98"/>
  <c r="R89" i="98"/>
  <c r="P89" i="98"/>
  <c r="R88" i="98"/>
  <c r="P88" i="98"/>
  <c r="O88" i="98"/>
  <c r="O89" i="98" s="1"/>
  <c r="O90" i="98" s="1"/>
  <c r="R87" i="98"/>
  <c r="P87" i="98"/>
  <c r="R86" i="98"/>
  <c r="P86" i="98"/>
  <c r="O86" i="98"/>
  <c r="O87" i="98" s="1"/>
  <c r="N86" i="98"/>
  <c r="N87" i="98" s="1"/>
  <c r="N88" i="98" s="1"/>
  <c r="N89" i="98" s="1"/>
  <c r="N90" i="98" s="1"/>
  <c r="R85" i="98"/>
  <c r="J85" i="98"/>
  <c r="I85" i="98"/>
  <c r="H85" i="98"/>
  <c r="G85" i="98"/>
  <c r="F85" i="98"/>
  <c r="R84" i="98"/>
  <c r="P84" i="98"/>
  <c r="R83" i="98"/>
  <c r="P83" i="98"/>
  <c r="R82" i="98"/>
  <c r="P82" i="98"/>
  <c r="R81" i="98"/>
  <c r="P81" i="98"/>
  <c r="O81" i="98"/>
  <c r="O82" i="98" s="1"/>
  <c r="O83" i="98" s="1"/>
  <c r="O84" i="98" s="1"/>
  <c r="O85" i="98" s="1"/>
  <c r="P85" i="98" s="1"/>
  <c r="N81" i="98"/>
  <c r="N82" i="98" s="1"/>
  <c r="N83" i="98" s="1"/>
  <c r="N84" i="98" s="1"/>
  <c r="N85" i="98" s="1"/>
  <c r="R80" i="98"/>
  <c r="P80" i="98"/>
  <c r="O80" i="98"/>
  <c r="N80" i="98"/>
  <c r="R79" i="98"/>
  <c r="O79" i="98"/>
  <c r="P79" i="98" s="1"/>
  <c r="N79" i="98"/>
  <c r="R78" i="98"/>
  <c r="P78" i="98"/>
  <c r="O78" i="98"/>
  <c r="N78" i="98"/>
  <c r="R77" i="98"/>
  <c r="O77" i="98"/>
  <c r="P77" i="98" s="1"/>
  <c r="N77" i="98"/>
  <c r="R74" i="98"/>
  <c r="P74" i="98"/>
  <c r="O74" i="98"/>
  <c r="N74" i="98"/>
  <c r="R73" i="98"/>
  <c r="P73" i="98"/>
  <c r="O73" i="98"/>
  <c r="N73" i="98"/>
  <c r="R72" i="98"/>
  <c r="P72" i="98"/>
  <c r="O72" i="98"/>
  <c r="N72" i="98"/>
  <c r="R71" i="98"/>
  <c r="P71" i="98"/>
  <c r="O71" i="98"/>
  <c r="N71" i="98"/>
  <c r="R70" i="98"/>
  <c r="P70" i="98"/>
  <c r="O70" i="98"/>
  <c r="N70" i="98"/>
  <c r="R67" i="98"/>
  <c r="P67" i="98"/>
  <c r="O67" i="98"/>
  <c r="N67" i="98"/>
  <c r="R66" i="98"/>
  <c r="O66" i="98"/>
  <c r="N66" i="98"/>
  <c r="R65" i="98"/>
  <c r="J65" i="98"/>
  <c r="I65" i="98"/>
  <c r="H65" i="98"/>
  <c r="G65" i="98"/>
  <c r="F65" i="98"/>
  <c r="R64" i="98"/>
  <c r="P64" i="98"/>
  <c r="R63" i="98"/>
  <c r="P63" i="98"/>
  <c r="O63" i="98"/>
  <c r="O64" i="98" s="1"/>
  <c r="O65" i="98" s="1"/>
  <c r="P65" i="98" s="1"/>
  <c r="N63" i="98"/>
  <c r="N64" i="98" s="1"/>
  <c r="N65" i="98" s="1"/>
  <c r="R62" i="98"/>
  <c r="J62" i="98"/>
  <c r="I62" i="98"/>
  <c r="H62" i="98"/>
  <c r="G62" i="98"/>
  <c r="F62" i="98"/>
  <c r="R61" i="98"/>
  <c r="P61" i="98"/>
  <c r="R60" i="98"/>
  <c r="P60" i="98"/>
  <c r="O60" i="98"/>
  <c r="O61" i="98" s="1"/>
  <c r="O62" i="98" s="1"/>
  <c r="N60" i="98"/>
  <c r="N61" i="98" s="1"/>
  <c r="N62" i="98" s="1"/>
  <c r="R59" i="98"/>
  <c r="J59" i="98"/>
  <c r="I59" i="98"/>
  <c r="H59" i="98"/>
  <c r="G59" i="98"/>
  <c r="F59" i="98"/>
  <c r="R58" i="98"/>
  <c r="P58" i="98"/>
  <c r="R57" i="98"/>
  <c r="P57" i="98"/>
  <c r="O57" i="98"/>
  <c r="O58" i="98" s="1"/>
  <c r="O59" i="98" s="1"/>
  <c r="P59" i="98" s="1"/>
  <c r="N57" i="98"/>
  <c r="N58" i="98" s="1"/>
  <c r="N59" i="98" s="1"/>
  <c r="R56" i="98"/>
  <c r="P56" i="98"/>
  <c r="O56" i="98"/>
  <c r="N56" i="98"/>
  <c r="R55" i="98"/>
  <c r="J55" i="98"/>
  <c r="I55" i="98"/>
  <c r="H55" i="98"/>
  <c r="G55" i="98"/>
  <c r="F55" i="98"/>
  <c r="R54" i="98"/>
  <c r="P54" i="98"/>
  <c r="R53" i="98"/>
  <c r="P53" i="98"/>
  <c r="N53" i="98"/>
  <c r="N54" i="98" s="1"/>
  <c r="N55" i="98" s="1"/>
  <c r="R52" i="98"/>
  <c r="P52" i="98"/>
  <c r="O52" i="98"/>
  <c r="O53" i="98" s="1"/>
  <c r="O54" i="98" s="1"/>
  <c r="O55" i="98" s="1"/>
  <c r="P55" i="98" s="1"/>
  <c r="N52" i="98"/>
  <c r="R51" i="98"/>
  <c r="J51" i="98"/>
  <c r="I51" i="98"/>
  <c r="H51" i="98"/>
  <c r="G51" i="98"/>
  <c r="F51" i="98"/>
  <c r="R50" i="98"/>
  <c r="P50" i="98"/>
  <c r="O50" i="98"/>
  <c r="O51" i="98" s="1"/>
  <c r="N50" i="98"/>
  <c r="N51" i="98" s="1"/>
  <c r="R49" i="98"/>
  <c r="P49" i="98"/>
  <c r="O49" i="98"/>
  <c r="N49" i="98"/>
  <c r="R48" i="98"/>
  <c r="O48" i="98"/>
  <c r="P48" i="98" s="1"/>
  <c r="N48" i="98"/>
  <c r="J48" i="98"/>
  <c r="I48" i="98"/>
  <c r="H48" i="98"/>
  <c r="G48" i="98"/>
  <c r="F48" i="98"/>
  <c r="R47" i="98"/>
  <c r="P47" i="98"/>
  <c r="O47" i="98"/>
  <c r="N47" i="98"/>
  <c r="R46" i="98"/>
  <c r="P46" i="98"/>
  <c r="O46" i="98"/>
  <c r="N46" i="98"/>
  <c r="R45" i="98"/>
  <c r="P45" i="98"/>
  <c r="O45" i="98"/>
  <c r="N45" i="98"/>
  <c r="J45" i="98"/>
  <c r="I45" i="98"/>
  <c r="H45" i="98"/>
  <c r="G45" i="98"/>
  <c r="F45" i="98"/>
  <c r="R44" i="98"/>
  <c r="P44" i="98"/>
  <c r="O44" i="98"/>
  <c r="N44" i="98"/>
  <c r="R43" i="98"/>
  <c r="P43" i="98"/>
  <c r="O43" i="98"/>
  <c r="N43" i="98"/>
  <c r="R42" i="98"/>
  <c r="O42" i="98"/>
  <c r="J42" i="98"/>
  <c r="I42" i="98"/>
  <c r="H42" i="98"/>
  <c r="G42" i="98"/>
  <c r="F42" i="98"/>
  <c r="R41" i="98"/>
  <c r="P41" i="98"/>
  <c r="O41" i="98"/>
  <c r="R40" i="98"/>
  <c r="P40" i="98"/>
  <c r="O40" i="98"/>
  <c r="N40" i="98"/>
  <c r="N41" i="98" s="1"/>
  <c r="N42" i="98" s="1"/>
  <c r="P42" i="98" s="1"/>
  <c r="R39" i="98"/>
  <c r="J39" i="98"/>
  <c r="I39" i="98"/>
  <c r="H39" i="98"/>
  <c r="G39" i="98"/>
  <c r="F39" i="98"/>
  <c r="R38" i="98"/>
  <c r="P38" i="98"/>
  <c r="R37" i="98"/>
  <c r="P37" i="98"/>
  <c r="O37" i="98"/>
  <c r="O38" i="98" s="1"/>
  <c r="O39" i="98" s="1"/>
  <c r="N37" i="98"/>
  <c r="N38" i="98" s="1"/>
  <c r="N39" i="98" s="1"/>
  <c r="R36" i="98"/>
  <c r="J36" i="98"/>
  <c r="I36" i="98"/>
  <c r="H36" i="98"/>
  <c r="G36" i="98"/>
  <c r="F36" i="98"/>
  <c r="R35" i="98"/>
  <c r="P35" i="98"/>
  <c r="R34" i="98"/>
  <c r="P34" i="98"/>
  <c r="O34" i="98"/>
  <c r="O35" i="98" s="1"/>
  <c r="O36" i="98" s="1"/>
  <c r="N34" i="98"/>
  <c r="N35" i="98" s="1"/>
  <c r="N36" i="98" s="1"/>
  <c r="R33" i="98"/>
  <c r="J33" i="98"/>
  <c r="I33" i="98"/>
  <c r="H33" i="98"/>
  <c r="G33" i="98"/>
  <c r="F33" i="98"/>
  <c r="R32" i="98"/>
  <c r="P32" i="98"/>
  <c r="R31" i="98"/>
  <c r="P31" i="98"/>
  <c r="O31" i="98"/>
  <c r="O32" i="98" s="1"/>
  <c r="O33" i="98" s="1"/>
  <c r="N31" i="98"/>
  <c r="N32" i="98" s="1"/>
  <c r="N33" i="98" s="1"/>
  <c r="R30" i="98"/>
  <c r="N30" i="98"/>
  <c r="R29" i="98"/>
  <c r="N29" i="98"/>
  <c r="R28" i="98"/>
  <c r="J28" i="98"/>
  <c r="I28" i="98"/>
  <c r="H28" i="98"/>
  <c r="G28" i="98"/>
  <c r="F28" i="98"/>
  <c r="R27" i="98"/>
  <c r="P27" i="98"/>
  <c r="N27" i="98"/>
  <c r="N28" i="98" s="1"/>
  <c r="R26" i="98"/>
  <c r="P26" i="98"/>
  <c r="O26" i="98"/>
  <c r="O27" i="98" s="1"/>
  <c r="O28" i="98" s="1"/>
  <c r="N26" i="98"/>
  <c r="B1" i="98" a="1"/>
  <c r="B1" i="98" s="1"/>
  <c r="N9" i="98" s="1"/>
  <c r="B69" i="98" s="1"/>
  <c r="C205" i="97"/>
  <c r="C201" i="97"/>
  <c r="C200" i="97"/>
  <c r="J198" i="97"/>
  <c r="I198" i="97"/>
  <c r="H198" i="97"/>
  <c r="G198" i="97"/>
  <c r="F198" i="97"/>
  <c r="C195" i="97"/>
  <c r="C193" i="97"/>
  <c r="C187" i="97"/>
  <c r="C185" i="97"/>
  <c r="C179" i="97"/>
  <c r="C177" i="97"/>
  <c r="B167" i="97"/>
  <c r="C207" i="97" s="1"/>
  <c r="B166" i="97"/>
  <c r="B165" i="97"/>
  <c r="B164" i="97"/>
  <c r="B163" i="97"/>
  <c r="C203" i="97" s="1"/>
  <c r="B162" i="97"/>
  <c r="B161" i="97"/>
  <c r="B160" i="97"/>
  <c r="B159" i="97"/>
  <c r="C199" i="97" s="1"/>
  <c r="B158" i="97"/>
  <c r="B157" i="97"/>
  <c r="C197" i="97" s="1"/>
  <c r="B156" i="97"/>
  <c r="C196" i="97" s="1"/>
  <c r="B155" i="97"/>
  <c r="B154" i="97"/>
  <c r="B153" i="97"/>
  <c r="B152" i="97"/>
  <c r="B151" i="97"/>
  <c r="C191" i="97" s="1"/>
  <c r="B150" i="97"/>
  <c r="B149" i="97"/>
  <c r="C189" i="97" s="1"/>
  <c r="B148" i="97"/>
  <c r="C188" i="97" s="1"/>
  <c r="B147" i="97"/>
  <c r="B146" i="97"/>
  <c r="B145" i="97"/>
  <c r="B144" i="97"/>
  <c r="B143" i="97"/>
  <c r="C183" i="97" s="1"/>
  <c r="B142" i="97"/>
  <c r="B141" i="97"/>
  <c r="C181" i="97" s="1"/>
  <c r="B140" i="97"/>
  <c r="C180" i="97" s="1"/>
  <c r="B139" i="97"/>
  <c r="B138" i="97"/>
  <c r="B137" i="97"/>
  <c r="B136" i="97"/>
  <c r="B135" i="97"/>
  <c r="C175" i="97" s="1"/>
  <c r="B134" i="97"/>
  <c r="B133" i="97"/>
  <c r="Q132" i="97" s="1"/>
  <c r="Q130" i="97"/>
  <c r="R129" i="97"/>
  <c r="P129" i="97"/>
  <c r="B169" i="97" s="1"/>
  <c r="O129" i="97"/>
  <c r="N129" i="97"/>
  <c r="R128" i="97"/>
  <c r="O128" i="97"/>
  <c r="P128" i="97" s="1"/>
  <c r="B168" i="97" s="1"/>
  <c r="N128" i="97"/>
  <c r="P127" i="97"/>
  <c r="O127" i="97"/>
  <c r="N127" i="97"/>
  <c r="O126" i="97"/>
  <c r="N126" i="97"/>
  <c r="J126" i="97"/>
  <c r="I126" i="97"/>
  <c r="H126" i="97"/>
  <c r="G126" i="97"/>
  <c r="F126" i="97"/>
  <c r="P125" i="97"/>
  <c r="O125" i="97"/>
  <c r="N125" i="97"/>
  <c r="P124" i="97"/>
  <c r="O124" i="97"/>
  <c r="N124" i="97"/>
  <c r="P123" i="97"/>
  <c r="N123" i="97"/>
  <c r="P126" i="97" s="1"/>
  <c r="R122" i="97"/>
  <c r="P122" i="97"/>
  <c r="O122" i="97"/>
  <c r="O123" i="97" s="1"/>
  <c r="N122" i="97"/>
  <c r="R121" i="97"/>
  <c r="O121" i="97"/>
  <c r="N121" i="97"/>
  <c r="J121" i="97"/>
  <c r="I121" i="97"/>
  <c r="H121" i="97"/>
  <c r="G121" i="97"/>
  <c r="F121" i="97"/>
  <c r="R120" i="97"/>
  <c r="P120" i="97"/>
  <c r="O120" i="97"/>
  <c r="N120" i="97"/>
  <c r="R119" i="97"/>
  <c r="P119" i="97"/>
  <c r="O119" i="97"/>
  <c r="N119" i="97"/>
  <c r="R118" i="97"/>
  <c r="P118" i="97"/>
  <c r="N118" i="97"/>
  <c r="P121" i="97" s="1"/>
  <c r="R117" i="97"/>
  <c r="P117" i="97"/>
  <c r="O117" i="97"/>
  <c r="O118" i="97" s="1"/>
  <c r="N117" i="97"/>
  <c r="R116" i="97"/>
  <c r="O116" i="97"/>
  <c r="N116" i="97"/>
  <c r="J116" i="97"/>
  <c r="I116" i="97"/>
  <c r="H116" i="97"/>
  <c r="G116" i="97"/>
  <c r="F116" i="97"/>
  <c r="R115" i="97"/>
  <c r="P115" i="97"/>
  <c r="O115" i="97"/>
  <c r="N115" i="97"/>
  <c r="R114" i="97"/>
  <c r="P114" i="97"/>
  <c r="O114" i="97"/>
  <c r="N114" i="97"/>
  <c r="R113" i="97"/>
  <c r="P113" i="97"/>
  <c r="O113" i="97"/>
  <c r="N113" i="97"/>
  <c r="P116" i="97" s="1"/>
  <c r="R112" i="97"/>
  <c r="P112" i="97"/>
  <c r="O112" i="97"/>
  <c r="N112" i="97"/>
  <c r="R111" i="97"/>
  <c r="O111" i="97"/>
  <c r="N111" i="97"/>
  <c r="J111" i="97"/>
  <c r="I111" i="97"/>
  <c r="H111" i="97"/>
  <c r="G111" i="97"/>
  <c r="F111" i="97"/>
  <c r="R110" i="97"/>
  <c r="P110" i="97"/>
  <c r="O110" i="97"/>
  <c r="N110" i="97"/>
  <c r="R109" i="97"/>
  <c r="P109" i="97"/>
  <c r="O109" i="97"/>
  <c r="N109" i="97"/>
  <c r="R108" i="97"/>
  <c r="P108" i="97"/>
  <c r="O108" i="97"/>
  <c r="N108" i="97"/>
  <c r="R107" i="97"/>
  <c r="P107" i="97"/>
  <c r="N107" i="97"/>
  <c r="P111" i="97" s="1"/>
  <c r="R106" i="97"/>
  <c r="O106" i="97"/>
  <c r="O107" i="97" s="1"/>
  <c r="N106" i="97"/>
  <c r="R105" i="97"/>
  <c r="O105" i="97"/>
  <c r="P105" i="97" s="1"/>
  <c r="N105" i="97"/>
  <c r="R104" i="97"/>
  <c r="O104" i="97"/>
  <c r="N104" i="97"/>
  <c r="P104" i="97" s="1"/>
  <c r="R101" i="97"/>
  <c r="P101" i="97"/>
  <c r="O101" i="97"/>
  <c r="N101" i="97"/>
  <c r="J101" i="97"/>
  <c r="I101" i="97"/>
  <c r="H101" i="97"/>
  <c r="G101" i="97"/>
  <c r="F101" i="97"/>
  <c r="R100" i="97"/>
  <c r="O100" i="97"/>
  <c r="N100" i="97"/>
  <c r="P100" i="97" s="1"/>
  <c r="R99" i="97"/>
  <c r="P99" i="97"/>
  <c r="O99" i="97"/>
  <c r="R98" i="97"/>
  <c r="P98" i="97"/>
  <c r="O98" i="97"/>
  <c r="N98" i="97"/>
  <c r="N99" i="97" s="1"/>
  <c r="R97" i="97"/>
  <c r="J97" i="97"/>
  <c r="I97" i="97"/>
  <c r="H97" i="97"/>
  <c r="G97" i="97"/>
  <c r="F97" i="97"/>
  <c r="R96" i="97"/>
  <c r="P96" i="97"/>
  <c r="R95" i="97"/>
  <c r="P95" i="97"/>
  <c r="O95" i="97"/>
  <c r="O96" i="97" s="1"/>
  <c r="O97" i="97" s="1"/>
  <c r="P97" i="97" s="1"/>
  <c r="N95" i="97"/>
  <c r="N96" i="97" s="1"/>
  <c r="N97" i="97" s="1"/>
  <c r="R94" i="97"/>
  <c r="P94" i="97"/>
  <c r="R93" i="97"/>
  <c r="P93" i="97"/>
  <c r="O93" i="97"/>
  <c r="O94" i="97" s="1"/>
  <c r="N93" i="97"/>
  <c r="N94" i="97" s="1"/>
  <c r="R92" i="97"/>
  <c r="O92" i="97"/>
  <c r="N92" i="97"/>
  <c r="P92" i="97" s="1"/>
  <c r="R91" i="97"/>
  <c r="O91" i="97"/>
  <c r="N91" i="97"/>
  <c r="R90" i="97"/>
  <c r="J90" i="97"/>
  <c r="I90" i="97"/>
  <c r="H90" i="97"/>
  <c r="G90" i="97"/>
  <c r="F90" i="97"/>
  <c r="R89" i="97"/>
  <c r="P89" i="97"/>
  <c r="R88" i="97"/>
  <c r="P88" i="97"/>
  <c r="O88" i="97"/>
  <c r="O89" i="97" s="1"/>
  <c r="O90" i="97" s="1"/>
  <c r="N88" i="97"/>
  <c r="N89" i="97" s="1"/>
  <c r="N90" i="97" s="1"/>
  <c r="R87" i="97"/>
  <c r="P87" i="97"/>
  <c r="R86" i="97"/>
  <c r="P86" i="97"/>
  <c r="O86" i="97"/>
  <c r="O87" i="97" s="1"/>
  <c r="N86" i="97"/>
  <c r="N87" i="97" s="1"/>
  <c r="R85" i="97"/>
  <c r="J85" i="97"/>
  <c r="I85" i="97"/>
  <c r="H85" i="97"/>
  <c r="G85" i="97"/>
  <c r="F85" i="97"/>
  <c r="R84" i="97"/>
  <c r="P84" i="97"/>
  <c r="R83" i="97"/>
  <c r="P83" i="97"/>
  <c r="O83" i="97"/>
  <c r="O84" i="97" s="1"/>
  <c r="O85" i="97" s="1"/>
  <c r="P85" i="97" s="1"/>
  <c r="R82" i="97"/>
  <c r="P82" i="97"/>
  <c r="R81" i="97"/>
  <c r="P81" i="97"/>
  <c r="O81" i="97"/>
  <c r="O82" i="97" s="1"/>
  <c r="N81" i="97"/>
  <c r="N82" i="97" s="1"/>
  <c r="N83" i="97" s="1"/>
  <c r="N84" i="97" s="1"/>
  <c r="N85" i="97" s="1"/>
  <c r="R80" i="97"/>
  <c r="P80" i="97"/>
  <c r="O80" i="97"/>
  <c r="N80" i="97"/>
  <c r="R79" i="97"/>
  <c r="O79" i="97"/>
  <c r="P79" i="97" s="1"/>
  <c r="N79" i="97"/>
  <c r="R78" i="97"/>
  <c r="P78" i="97"/>
  <c r="O78" i="97"/>
  <c r="N78" i="97"/>
  <c r="R77" i="97"/>
  <c r="O77" i="97"/>
  <c r="P77" i="97" s="1"/>
  <c r="N77" i="97"/>
  <c r="R74" i="97"/>
  <c r="P74" i="97"/>
  <c r="O74" i="97"/>
  <c r="N74" i="97"/>
  <c r="R73" i="97"/>
  <c r="P73" i="97"/>
  <c r="O73" i="97"/>
  <c r="N73" i="97"/>
  <c r="R72" i="97"/>
  <c r="P72" i="97"/>
  <c r="O72" i="97"/>
  <c r="N72" i="97"/>
  <c r="R71" i="97"/>
  <c r="P71" i="97"/>
  <c r="O71" i="97"/>
  <c r="N71" i="97"/>
  <c r="R70" i="97"/>
  <c r="P70" i="97"/>
  <c r="O70" i="97"/>
  <c r="N70" i="97"/>
  <c r="R67" i="97"/>
  <c r="O67" i="97"/>
  <c r="N67" i="97"/>
  <c r="P67" i="97" s="1"/>
  <c r="R66" i="97"/>
  <c r="O66" i="97"/>
  <c r="N66" i="97"/>
  <c r="R65" i="97"/>
  <c r="J65" i="97"/>
  <c r="I65" i="97"/>
  <c r="H65" i="97"/>
  <c r="G65" i="97"/>
  <c r="F65" i="97"/>
  <c r="R64" i="97"/>
  <c r="P64" i="97"/>
  <c r="R63" i="97"/>
  <c r="P63" i="97"/>
  <c r="O63" i="97"/>
  <c r="O64" i="97" s="1"/>
  <c r="O65" i="97" s="1"/>
  <c r="N63" i="97"/>
  <c r="N64" i="97" s="1"/>
  <c r="N65" i="97" s="1"/>
  <c r="R62" i="97"/>
  <c r="J62" i="97"/>
  <c r="I62" i="97"/>
  <c r="H62" i="97"/>
  <c r="G62" i="97"/>
  <c r="F62" i="97"/>
  <c r="R61" i="97"/>
  <c r="P61" i="97"/>
  <c r="R60" i="97"/>
  <c r="P60" i="97"/>
  <c r="O60" i="97"/>
  <c r="O61" i="97" s="1"/>
  <c r="O62" i="97" s="1"/>
  <c r="N60" i="97"/>
  <c r="N61" i="97" s="1"/>
  <c r="N62" i="97" s="1"/>
  <c r="R59" i="97"/>
  <c r="J59" i="97"/>
  <c r="I59" i="97"/>
  <c r="H59" i="97"/>
  <c r="G59" i="97"/>
  <c r="F59" i="97"/>
  <c r="R58" i="97"/>
  <c r="P58" i="97"/>
  <c r="R57" i="97"/>
  <c r="P57" i="97"/>
  <c r="O57" i="97"/>
  <c r="O58" i="97" s="1"/>
  <c r="O59" i="97" s="1"/>
  <c r="R56" i="97"/>
  <c r="P56" i="97"/>
  <c r="O56" i="97"/>
  <c r="N56" i="97"/>
  <c r="N57" i="97" s="1"/>
  <c r="N58" i="97" s="1"/>
  <c r="N59" i="97" s="1"/>
  <c r="R55" i="97"/>
  <c r="J55" i="97"/>
  <c r="I55" i="97"/>
  <c r="H55" i="97"/>
  <c r="G55" i="97"/>
  <c r="F55" i="97"/>
  <c r="R54" i="97"/>
  <c r="P54" i="97"/>
  <c r="R53" i="97"/>
  <c r="P53" i="97"/>
  <c r="O53" i="97"/>
  <c r="O54" i="97" s="1"/>
  <c r="O55" i="97" s="1"/>
  <c r="P55" i="97" s="1"/>
  <c r="N53" i="97"/>
  <c r="N54" i="97" s="1"/>
  <c r="N55" i="97" s="1"/>
  <c r="R52" i="97"/>
  <c r="P52" i="97"/>
  <c r="O52" i="97"/>
  <c r="N52" i="97"/>
  <c r="R51" i="97"/>
  <c r="N51" i="97"/>
  <c r="J51" i="97"/>
  <c r="I51" i="97"/>
  <c r="H51" i="97"/>
  <c r="G51" i="97"/>
  <c r="F51" i="97"/>
  <c r="R50" i="97"/>
  <c r="P50" i="97"/>
  <c r="O50" i="97"/>
  <c r="O51" i="97" s="1"/>
  <c r="P51" i="97" s="1"/>
  <c r="N50" i="97"/>
  <c r="R49" i="97"/>
  <c r="P49" i="97"/>
  <c r="O49" i="97"/>
  <c r="N49" i="97"/>
  <c r="R48" i="97"/>
  <c r="O48" i="97"/>
  <c r="P48" i="97" s="1"/>
  <c r="N48" i="97"/>
  <c r="J48" i="97"/>
  <c r="I48" i="97"/>
  <c r="H48" i="97"/>
  <c r="G48" i="97"/>
  <c r="F48" i="97"/>
  <c r="R47" i="97"/>
  <c r="P47" i="97"/>
  <c r="O47" i="97"/>
  <c r="N47" i="97"/>
  <c r="R46" i="97"/>
  <c r="P46" i="97"/>
  <c r="O46" i="97"/>
  <c r="N46" i="97"/>
  <c r="R45" i="97"/>
  <c r="P45" i="97"/>
  <c r="O45" i="97"/>
  <c r="J45" i="97"/>
  <c r="I45" i="97"/>
  <c r="H45" i="97"/>
  <c r="G45" i="97"/>
  <c r="F45" i="97"/>
  <c r="R44" i="97"/>
  <c r="P44" i="97"/>
  <c r="O44" i="97"/>
  <c r="R43" i="97"/>
  <c r="P43" i="97"/>
  <c r="O43" i="97"/>
  <c r="N43" i="97"/>
  <c r="N44" i="97" s="1"/>
  <c r="N45" i="97" s="1"/>
  <c r="R42" i="97"/>
  <c r="J42" i="97"/>
  <c r="I42" i="97"/>
  <c r="H42" i="97"/>
  <c r="G42" i="97"/>
  <c r="F42" i="97"/>
  <c r="R41" i="97"/>
  <c r="P41" i="97"/>
  <c r="R40" i="97"/>
  <c r="P40" i="97"/>
  <c r="O40" i="97"/>
  <c r="O41" i="97" s="1"/>
  <c r="O42" i="97" s="1"/>
  <c r="P42" i="97" s="1"/>
  <c r="N40" i="97"/>
  <c r="N41" i="97" s="1"/>
  <c r="N42" i="97" s="1"/>
  <c r="R39" i="97"/>
  <c r="J39" i="97"/>
  <c r="I39" i="97"/>
  <c r="H39" i="97"/>
  <c r="G39" i="97"/>
  <c r="F39" i="97"/>
  <c r="R38" i="97"/>
  <c r="P38" i="97"/>
  <c r="R37" i="97"/>
  <c r="P37" i="97"/>
  <c r="O37" i="97"/>
  <c r="O38" i="97" s="1"/>
  <c r="O39" i="97" s="1"/>
  <c r="N37" i="97"/>
  <c r="N38" i="97" s="1"/>
  <c r="N39" i="97" s="1"/>
  <c r="R36" i="97"/>
  <c r="J36" i="97"/>
  <c r="I36" i="97"/>
  <c r="H36" i="97"/>
  <c r="G36" i="97"/>
  <c r="F36" i="97"/>
  <c r="R35" i="97"/>
  <c r="P35" i="97"/>
  <c r="R34" i="97"/>
  <c r="P34" i="97"/>
  <c r="O34" i="97"/>
  <c r="O35" i="97" s="1"/>
  <c r="O36" i="97" s="1"/>
  <c r="N34" i="97"/>
  <c r="N35" i="97" s="1"/>
  <c r="N36" i="97" s="1"/>
  <c r="R33" i="97"/>
  <c r="J33" i="97"/>
  <c r="I33" i="97"/>
  <c r="H33" i="97"/>
  <c r="G33" i="97"/>
  <c r="F33" i="97"/>
  <c r="R32" i="97"/>
  <c r="P32" i="97"/>
  <c r="N32" i="97"/>
  <c r="N33" i="97" s="1"/>
  <c r="R31" i="97"/>
  <c r="P31" i="97"/>
  <c r="O31" i="97"/>
  <c r="O32" i="97" s="1"/>
  <c r="O33" i="97" s="1"/>
  <c r="N31" i="97"/>
  <c r="R30" i="97"/>
  <c r="N30" i="97"/>
  <c r="R29" i="97"/>
  <c r="N29" i="97"/>
  <c r="R28" i="97"/>
  <c r="N28" i="97"/>
  <c r="J28" i="97"/>
  <c r="I28" i="97"/>
  <c r="H28" i="97"/>
  <c r="G28" i="97"/>
  <c r="F28" i="97"/>
  <c r="R27" i="97"/>
  <c r="P27" i="97"/>
  <c r="O27" i="97"/>
  <c r="O28" i="97" s="1"/>
  <c r="N27" i="97"/>
  <c r="R26" i="97"/>
  <c r="P26" i="97"/>
  <c r="O26" i="97"/>
  <c r="N26" i="97"/>
  <c r="B1" i="97" a="1"/>
  <c r="B1" i="97" s="1"/>
  <c r="N9" i="97" s="1"/>
  <c r="B131" i="97" s="1"/>
  <c r="C207" i="96"/>
  <c r="C202" i="96"/>
  <c r="C200" i="96"/>
  <c r="C199" i="96"/>
  <c r="J198" i="96"/>
  <c r="I198" i="96"/>
  <c r="H198" i="96"/>
  <c r="G198" i="96"/>
  <c r="F198" i="96"/>
  <c r="C196" i="96"/>
  <c r="C195" i="96"/>
  <c r="C192" i="96"/>
  <c r="C187" i="96"/>
  <c r="C184" i="96"/>
  <c r="C179" i="96"/>
  <c r="C176" i="96"/>
  <c r="B167" i="96"/>
  <c r="B166" i="96"/>
  <c r="B165" i="96"/>
  <c r="B164" i="96"/>
  <c r="C204" i="96" s="1"/>
  <c r="B163" i="96"/>
  <c r="C203" i="96" s="1"/>
  <c r="B162" i="96"/>
  <c r="B161" i="96"/>
  <c r="B160" i="96"/>
  <c r="B159" i="96"/>
  <c r="B158" i="96"/>
  <c r="B157" i="96"/>
  <c r="B156" i="96"/>
  <c r="B155" i="96"/>
  <c r="B154" i="96"/>
  <c r="B153" i="96"/>
  <c r="B152" i="96"/>
  <c r="B151" i="96"/>
  <c r="C191" i="96" s="1"/>
  <c r="B150" i="96"/>
  <c r="B149" i="96"/>
  <c r="B148" i="96"/>
  <c r="C188" i="96" s="1"/>
  <c r="B147" i="96"/>
  <c r="B146" i="96"/>
  <c r="B145" i="96"/>
  <c r="C185" i="96" s="1"/>
  <c r="B144" i="96"/>
  <c r="B143" i="96"/>
  <c r="C183" i="96" s="1"/>
  <c r="B142" i="96"/>
  <c r="B141" i="96"/>
  <c r="B140" i="96"/>
  <c r="C180" i="96" s="1"/>
  <c r="B139" i="96"/>
  <c r="B138" i="96"/>
  <c r="B137" i="96"/>
  <c r="B136" i="96"/>
  <c r="B135" i="96"/>
  <c r="C175" i="96" s="1"/>
  <c r="B134" i="96"/>
  <c r="B133" i="96"/>
  <c r="Q130" i="96"/>
  <c r="R129" i="96"/>
  <c r="O129" i="96"/>
  <c r="N129" i="96"/>
  <c r="P129" i="96" s="1"/>
  <c r="B169" i="96" s="1"/>
  <c r="R128" i="96"/>
  <c r="O128" i="96"/>
  <c r="P128" i="96" s="1"/>
  <c r="B168" i="96" s="1"/>
  <c r="C208" i="96" s="1"/>
  <c r="N128" i="96"/>
  <c r="P127" i="96"/>
  <c r="O127" i="96"/>
  <c r="N127" i="96"/>
  <c r="P126" i="96"/>
  <c r="O126" i="96"/>
  <c r="N126" i="96"/>
  <c r="J126" i="96"/>
  <c r="I126" i="96"/>
  <c r="H126" i="96"/>
  <c r="G126" i="96"/>
  <c r="F126" i="96"/>
  <c r="P125" i="96"/>
  <c r="O125" i="96"/>
  <c r="N125" i="96"/>
  <c r="P124" i="96"/>
  <c r="O124" i="96"/>
  <c r="N124" i="96"/>
  <c r="P123" i="96"/>
  <c r="N123" i="96"/>
  <c r="R122" i="96"/>
  <c r="P122" i="96"/>
  <c r="O122" i="96"/>
  <c r="O123" i="96" s="1"/>
  <c r="N122" i="96"/>
  <c r="R121" i="96"/>
  <c r="O121" i="96"/>
  <c r="N121" i="96"/>
  <c r="J121" i="96"/>
  <c r="I121" i="96"/>
  <c r="H121" i="96"/>
  <c r="G121" i="96"/>
  <c r="F121" i="96"/>
  <c r="R120" i="96"/>
  <c r="P120" i="96"/>
  <c r="O120" i="96"/>
  <c r="N120" i="96"/>
  <c r="R119" i="96"/>
  <c r="P119" i="96"/>
  <c r="O119" i="96"/>
  <c r="N119" i="96"/>
  <c r="R118" i="96"/>
  <c r="P118" i="96"/>
  <c r="O118" i="96"/>
  <c r="N118" i="96"/>
  <c r="P121" i="96" s="1"/>
  <c r="R117" i="96"/>
  <c r="P117" i="96"/>
  <c r="O117" i="96"/>
  <c r="N117" i="96"/>
  <c r="R116" i="96"/>
  <c r="O116" i="96"/>
  <c r="N116" i="96"/>
  <c r="J116" i="96"/>
  <c r="I116" i="96"/>
  <c r="H116" i="96"/>
  <c r="G116" i="96"/>
  <c r="F116" i="96"/>
  <c r="R115" i="96"/>
  <c r="P115" i="96"/>
  <c r="O115" i="96"/>
  <c r="N115" i="96"/>
  <c r="R114" i="96"/>
  <c r="P114" i="96"/>
  <c r="O114" i="96"/>
  <c r="N114" i="96"/>
  <c r="R113" i="96"/>
  <c r="P113" i="96"/>
  <c r="O113" i="96"/>
  <c r="N113" i="96"/>
  <c r="P116" i="96" s="1"/>
  <c r="R112" i="96"/>
  <c r="P112" i="96"/>
  <c r="O112" i="96"/>
  <c r="N112" i="96"/>
  <c r="R111" i="96"/>
  <c r="P111" i="96"/>
  <c r="O111" i="96"/>
  <c r="N111" i="96"/>
  <c r="J111" i="96"/>
  <c r="I111" i="96"/>
  <c r="H111" i="96"/>
  <c r="G111" i="96"/>
  <c r="F111" i="96"/>
  <c r="R110" i="96"/>
  <c r="P110" i="96"/>
  <c r="O110" i="96"/>
  <c r="N110" i="96"/>
  <c r="R109" i="96"/>
  <c r="P109" i="96"/>
  <c r="O109" i="96"/>
  <c r="N109" i="96"/>
  <c r="R108" i="96"/>
  <c r="P108" i="96"/>
  <c r="O108" i="96"/>
  <c r="N108" i="96"/>
  <c r="R107" i="96"/>
  <c r="P107" i="96"/>
  <c r="N107" i="96"/>
  <c r="R106" i="96"/>
  <c r="P106" i="96"/>
  <c r="O106" i="96"/>
  <c r="O107" i="96" s="1"/>
  <c r="N106" i="96"/>
  <c r="R105" i="96"/>
  <c r="O105" i="96"/>
  <c r="P105" i="96" s="1"/>
  <c r="N105" i="96"/>
  <c r="R104" i="96"/>
  <c r="P104" i="96"/>
  <c r="O104" i="96"/>
  <c r="N104" i="96"/>
  <c r="R101" i="96"/>
  <c r="O101" i="96"/>
  <c r="N101" i="96"/>
  <c r="P101" i="96" s="1"/>
  <c r="J101" i="96"/>
  <c r="I101" i="96"/>
  <c r="H101" i="96"/>
  <c r="G101" i="96"/>
  <c r="F101" i="96"/>
  <c r="R100" i="96"/>
  <c r="O100" i="96"/>
  <c r="P100" i="96" s="1"/>
  <c r="N100" i="96"/>
  <c r="R99" i="96"/>
  <c r="R98" i="96"/>
  <c r="P98" i="96"/>
  <c r="O98" i="96"/>
  <c r="O99" i="96" s="1"/>
  <c r="N98" i="96"/>
  <c r="N99" i="96" s="1"/>
  <c r="P99" i="96" s="1"/>
  <c r="R97" i="96"/>
  <c r="J97" i="96"/>
  <c r="I97" i="96"/>
  <c r="H97" i="96"/>
  <c r="G97" i="96"/>
  <c r="F97" i="96"/>
  <c r="R96" i="96"/>
  <c r="P96" i="96"/>
  <c r="R95" i="96"/>
  <c r="P95" i="96"/>
  <c r="R94" i="96"/>
  <c r="P94" i="96"/>
  <c r="N94" i="96"/>
  <c r="N95" i="96" s="1"/>
  <c r="N96" i="96" s="1"/>
  <c r="N97" i="96" s="1"/>
  <c r="R93" i="96"/>
  <c r="P93" i="96"/>
  <c r="O93" i="96"/>
  <c r="O94" i="96" s="1"/>
  <c r="O95" i="96" s="1"/>
  <c r="O96" i="96" s="1"/>
  <c r="O97" i="96" s="1"/>
  <c r="P97" i="96" s="1"/>
  <c r="N93" i="96"/>
  <c r="R92" i="96"/>
  <c r="P92" i="96"/>
  <c r="O92" i="96"/>
  <c r="N92" i="96"/>
  <c r="R91" i="96"/>
  <c r="P91" i="96"/>
  <c r="O91" i="96"/>
  <c r="N91" i="96"/>
  <c r="R90" i="96"/>
  <c r="J90" i="96"/>
  <c r="I90" i="96"/>
  <c r="H90" i="96"/>
  <c r="G90" i="96"/>
  <c r="F90" i="96"/>
  <c r="R89" i="96"/>
  <c r="P89" i="96"/>
  <c r="R88" i="96"/>
  <c r="P88" i="96"/>
  <c r="R87" i="96"/>
  <c r="P87" i="96"/>
  <c r="O87" i="96"/>
  <c r="O88" i="96" s="1"/>
  <c r="O89" i="96" s="1"/>
  <c r="O90" i="96" s="1"/>
  <c r="R86" i="96"/>
  <c r="P86" i="96"/>
  <c r="O86" i="96"/>
  <c r="N86" i="96"/>
  <c r="N87" i="96" s="1"/>
  <c r="N88" i="96" s="1"/>
  <c r="N89" i="96" s="1"/>
  <c r="N90" i="96" s="1"/>
  <c r="R85" i="96"/>
  <c r="J85" i="96"/>
  <c r="I85" i="96"/>
  <c r="H85" i="96"/>
  <c r="G85" i="96"/>
  <c r="F85" i="96"/>
  <c r="R84" i="96"/>
  <c r="P84" i="96"/>
  <c r="N84" i="96"/>
  <c r="N85" i="96" s="1"/>
  <c r="R83" i="96"/>
  <c r="P83" i="96"/>
  <c r="O83" i="96"/>
  <c r="O84" i="96" s="1"/>
  <c r="O85" i="96" s="1"/>
  <c r="P85" i="96" s="1"/>
  <c r="R82" i="96"/>
  <c r="P82" i="96"/>
  <c r="N82" i="96"/>
  <c r="N83" i="96" s="1"/>
  <c r="R81" i="96"/>
  <c r="P81" i="96"/>
  <c r="O81" i="96"/>
  <c r="O82" i="96" s="1"/>
  <c r="N81" i="96"/>
  <c r="R80" i="96"/>
  <c r="O80" i="96"/>
  <c r="N80" i="96"/>
  <c r="P80" i="96" s="1"/>
  <c r="R79" i="96"/>
  <c r="O79" i="96"/>
  <c r="P79" i="96" s="1"/>
  <c r="N79" i="96"/>
  <c r="R78" i="96"/>
  <c r="O78" i="96"/>
  <c r="N78" i="96"/>
  <c r="P78" i="96" s="1"/>
  <c r="R77" i="96"/>
  <c r="O77" i="96"/>
  <c r="P77" i="96" s="1"/>
  <c r="N77" i="96"/>
  <c r="R74" i="96"/>
  <c r="P74" i="96"/>
  <c r="O74" i="96"/>
  <c r="N74" i="96"/>
  <c r="R73" i="96"/>
  <c r="P73" i="96"/>
  <c r="O73" i="96"/>
  <c r="N73" i="96"/>
  <c r="R72" i="96"/>
  <c r="P72" i="96"/>
  <c r="O72" i="96"/>
  <c r="N72" i="96"/>
  <c r="R71" i="96"/>
  <c r="P71" i="96"/>
  <c r="O71" i="96"/>
  <c r="N71" i="96"/>
  <c r="R70" i="96"/>
  <c r="P70" i="96"/>
  <c r="O70" i="96"/>
  <c r="N70" i="96"/>
  <c r="R67" i="96"/>
  <c r="P67" i="96"/>
  <c r="O67" i="96"/>
  <c r="N67" i="96"/>
  <c r="R66" i="96"/>
  <c r="P66" i="96"/>
  <c r="O66" i="96"/>
  <c r="N66" i="96"/>
  <c r="R65" i="96"/>
  <c r="J65" i="96"/>
  <c r="I65" i="96"/>
  <c r="H65" i="96"/>
  <c r="G65" i="96"/>
  <c r="F65" i="96"/>
  <c r="R64" i="96"/>
  <c r="P64" i="96"/>
  <c r="R63" i="96"/>
  <c r="P63" i="96"/>
  <c r="O63" i="96"/>
  <c r="O64" i="96" s="1"/>
  <c r="O65" i="96" s="1"/>
  <c r="P65" i="96" s="1"/>
  <c r="N63" i="96"/>
  <c r="N64" i="96" s="1"/>
  <c r="N65" i="96" s="1"/>
  <c r="R62" i="96"/>
  <c r="J62" i="96"/>
  <c r="I62" i="96"/>
  <c r="H62" i="96"/>
  <c r="G62" i="96"/>
  <c r="F62" i="96"/>
  <c r="R61" i="96"/>
  <c r="P61" i="96"/>
  <c r="N61" i="96"/>
  <c r="N62" i="96" s="1"/>
  <c r="R60" i="96"/>
  <c r="P60" i="96"/>
  <c r="O60" i="96"/>
  <c r="O61" i="96" s="1"/>
  <c r="O62" i="96" s="1"/>
  <c r="N60" i="96"/>
  <c r="R59" i="96"/>
  <c r="J59" i="96"/>
  <c r="I59" i="96"/>
  <c r="H59" i="96"/>
  <c r="G59" i="96"/>
  <c r="F59" i="96"/>
  <c r="R58" i="96"/>
  <c r="P58" i="96"/>
  <c r="O58" i="96"/>
  <c r="O59" i="96" s="1"/>
  <c r="R57" i="96"/>
  <c r="P57" i="96"/>
  <c r="R56" i="96"/>
  <c r="P56" i="96"/>
  <c r="O56" i="96"/>
  <c r="O57" i="96" s="1"/>
  <c r="N56" i="96"/>
  <c r="N57" i="96" s="1"/>
  <c r="N58" i="96" s="1"/>
  <c r="N59" i="96" s="1"/>
  <c r="R55" i="96"/>
  <c r="J55" i="96"/>
  <c r="I55" i="96"/>
  <c r="H55" i="96"/>
  <c r="G55" i="96"/>
  <c r="F55" i="96"/>
  <c r="R54" i="96"/>
  <c r="P54" i="96"/>
  <c r="R53" i="96"/>
  <c r="P53" i="96"/>
  <c r="O53" i="96"/>
  <c r="O54" i="96" s="1"/>
  <c r="O55" i="96" s="1"/>
  <c r="P55" i="96" s="1"/>
  <c r="N53" i="96"/>
  <c r="N54" i="96" s="1"/>
  <c r="N55" i="96" s="1"/>
  <c r="R52" i="96"/>
  <c r="P52" i="96"/>
  <c r="O52" i="96"/>
  <c r="N52" i="96"/>
  <c r="R51" i="96"/>
  <c r="P51" i="96"/>
  <c r="O51" i="96"/>
  <c r="J51" i="96"/>
  <c r="I51" i="96"/>
  <c r="H51" i="96"/>
  <c r="G51" i="96"/>
  <c r="F51" i="96"/>
  <c r="R50" i="96"/>
  <c r="P50" i="96"/>
  <c r="O50" i="96"/>
  <c r="N50" i="96"/>
  <c r="N51" i="96" s="1"/>
  <c r="R49" i="96"/>
  <c r="P49" i="96"/>
  <c r="O49" i="96"/>
  <c r="N49" i="96"/>
  <c r="R48" i="96"/>
  <c r="P48" i="96"/>
  <c r="N48" i="96"/>
  <c r="J48" i="96"/>
  <c r="I48" i="96"/>
  <c r="H48" i="96"/>
  <c r="G48" i="96"/>
  <c r="F48" i="96"/>
  <c r="R47" i="96"/>
  <c r="P47" i="96"/>
  <c r="O47" i="96"/>
  <c r="O48" i="96" s="1"/>
  <c r="R46" i="96"/>
  <c r="P46" i="96"/>
  <c r="O46" i="96"/>
  <c r="N46" i="96"/>
  <c r="N47" i="96" s="1"/>
  <c r="R45" i="96"/>
  <c r="J45" i="96"/>
  <c r="I45" i="96"/>
  <c r="H45" i="96"/>
  <c r="G45" i="96"/>
  <c r="F45" i="96"/>
  <c r="R44" i="96"/>
  <c r="P44" i="96"/>
  <c r="R43" i="96"/>
  <c r="P43" i="96"/>
  <c r="O43" i="96"/>
  <c r="O44" i="96" s="1"/>
  <c r="O45" i="96" s="1"/>
  <c r="P45" i="96" s="1"/>
  <c r="N43" i="96"/>
  <c r="N44" i="96" s="1"/>
  <c r="N45" i="96" s="1"/>
  <c r="R42" i="96"/>
  <c r="J42" i="96"/>
  <c r="I42" i="96"/>
  <c r="H42" i="96"/>
  <c r="G42" i="96"/>
  <c r="F42" i="96"/>
  <c r="R41" i="96"/>
  <c r="P41" i="96"/>
  <c r="R40" i="96"/>
  <c r="P40" i="96"/>
  <c r="O40" i="96"/>
  <c r="O41" i="96" s="1"/>
  <c r="O42" i="96" s="1"/>
  <c r="P42" i="96" s="1"/>
  <c r="N40" i="96"/>
  <c r="N41" i="96" s="1"/>
  <c r="N42" i="96" s="1"/>
  <c r="R39" i="96"/>
  <c r="J39" i="96"/>
  <c r="I39" i="96"/>
  <c r="H39" i="96"/>
  <c r="G39" i="96"/>
  <c r="F39" i="96"/>
  <c r="R38" i="96"/>
  <c r="P38" i="96"/>
  <c r="R37" i="96"/>
  <c r="P37" i="96"/>
  <c r="O37" i="96"/>
  <c r="O38" i="96" s="1"/>
  <c r="O39" i="96" s="1"/>
  <c r="N37" i="96"/>
  <c r="N38" i="96" s="1"/>
  <c r="N39" i="96" s="1"/>
  <c r="R36" i="96"/>
  <c r="J36" i="96"/>
  <c r="I36" i="96"/>
  <c r="H36" i="96"/>
  <c r="G36" i="96"/>
  <c r="F36" i="96"/>
  <c r="R35" i="96"/>
  <c r="P35" i="96"/>
  <c r="N35" i="96"/>
  <c r="N36" i="96" s="1"/>
  <c r="R34" i="96"/>
  <c r="P34" i="96"/>
  <c r="O34" i="96"/>
  <c r="O35" i="96" s="1"/>
  <c r="O36" i="96" s="1"/>
  <c r="N34" i="96"/>
  <c r="R33" i="96"/>
  <c r="J33" i="96"/>
  <c r="I33" i="96"/>
  <c r="H33" i="96"/>
  <c r="G33" i="96"/>
  <c r="F33" i="96"/>
  <c r="R32" i="96"/>
  <c r="P32" i="96"/>
  <c r="O32" i="96"/>
  <c r="O33" i="96" s="1"/>
  <c r="N32" i="96"/>
  <c r="N33" i="96" s="1"/>
  <c r="R31" i="96"/>
  <c r="P31" i="96"/>
  <c r="O31" i="96"/>
  <c r="N31" i="96"/>
  <c r="R30" i="96"/>
  <c r="N30" i="96"/>
  <c r="R29" i="96"/>
  <c r="N29" i="96"/>
  <c r="R28" i="96"/>
  <c r="N28" i="96"/>
  <c r="J28" i="96"/>
  <c r="I28" i="96"/>
  <c r="H28" i="96"/>
  <c r="G28" i="96"/>
  <c r="F28" i="96"/>
  <c r="R27" i="96"/>
  <c r="P27" i="96"/>
  <c r="O27" i="96"/>
  <c r="O28" i="96" s="1"/>
  <c r="N27" i="96"/>
  <c r="R26" i="96"/>
  <c r="P26" i="96"/>
  <c r="O26" i="96"/>
  <c r="N26" i="96"/>
  <c r="B1" i="96" a="1"/>
  <c r="B1" i="96" s="1"/>
  <c r="N9" i="96" s="1"/>
  <c r="C202" i="95"/>
  <c r="C200" i="95"/>
  <c r="J198" i="95"/>
  <c r="I198" i="95"/>
  <c r="H198" i="95"/>
  <c r="G198" i="95"/>
  <c r="F198" i="95"/>
  <c r="C195" i="95"/>
  <c r="C193" i="95"/>
  <c r="C187" i="95"/>
  <c r="C185" i="95"/>
  <c r="C179" i="95"/>
  <c r="C177" i="95"/>
  <c r="C176" i="95"/>
  <c r="B167" i="95"/>
  <c r="C207" i="95" s="1"/>
  <c r="B166" i="95"/>
  <c r="B165" i="95"/>
  <c r="B164" i="95"/>
  <c r="C204" i="95" s="1"/>
  <c r="B163" i="95"/>
  <c r="C203" i="95" s="1"/>
  <c r="B162" i="95"/>
  <c r="B161" i="95"/>
  <c r="B160" i="95"/>
  <c r="B159" i="95"/>
  <c r="B158" i="95"/>
  <c r="C198" i="95" s="1"/>
  <c r="B157" i="95"/>
  <c r="B156" i="95"/>
  <c r="C196" i="95" s="1"/>
  <c r="B155" i="95"/>
  <c r="B154" i="95"/>
  <c r="B153" i="95"/>
  <c r="B152" i="95"/>
  <c r="B151" i="95"/>
  <c r="C191" i="95" s="1"/>
  <c r="B150" i="95"/>
  <c r="C190" i="95" s="1"/>
  <c r="B149" i="95"/>
  <c r="B148" i="95"/>
  <c r="C188" i="95" s="1"/>
  <c r="B147" i="95"/>
  <c r="B146" i="95"/>
  <c r="B145" i="95"/>
  <c r="B144" i="95"/>
  <c r="B143" i="95"/>
  <c r="C183" i="95" s="1"/>
  <c r="B142" i="95"/>
  <c r="C182" i="95" s="1"/>
  <c r="B141" i="95"/>
  <c r="B140" i="95"/>
  <c r="C180" i="95" s="1"/>
  <c r="B139" i="95"/>
  <c r="B138" i="95"/>
  <c r="B137" i="95"/>
  <c r="B136" i="95"/>
  <c r="B135" i="95"/>
  <c r="C175" i="95" s="1"/>
  <c r="B134" i="95"/>
  <c r="B133" i="95"/>
  <c r="Q130" i="95"/>
  <c r="R129" i="95"/>
  <c r="O129" i="95"/>
  <c r="N129" i="95"/>
  <c r="P129" i="95" s="1"/>
  <c r="B169" i="95" s="1"/>
  <c r="R128" i="95"/>
  <c r="O128" i="95"/>
  <c r="P128" i="95" s="1"/>
  <c r="B168" i="95" s="1"/>
  <c r="N128" i="95"/>
  <c r="P127" i="95"/>
  <c r="O127" i="95"/>
  <c r="N127" i="95"/>
  <c r="O126" i="95"/>
  <c r="N126" i="95"/>
  <c r="J126" i="95"/>
  <c r="I126" i="95"/>
  <c r="H126" i="95"/>
  <c r="G126" i="95"/>
  <c r="F126" i="95"/>
  <c r="P125" i="95"/>
  <c r="O125" i="95"/>
  <c r="N125" i="95"/>
  <c r="P124" i="95"/>
  <c r="O124" i="95"/>
  <c r="N124" i="95"/>
  <c r="P123" i="95"/>
  <c r="N123" i="95"/>
  <c r="P126" i="95" s="1"/>
  <c r="R122" i="95"/>
  <c r="P122" i="95"/>
  <c r="O122" i="95"/>
  <c r="O123" i="95" s="1"/>
  <c r="N122" i="95"/>
  <c r="R121" i="95"/>
  <c r="O121" i="95"/>
  <c r="N121" i="95"/>
  <c r="J121" i="95"/>
  <c r="I121" i="95"/>
  <c r="H121" i="95"/>
  <c r="G121" i="95"/>
  <c r="F121" i="95"/>
  <c r="R120" i="95"/>
  <c r="P120" i="95"/>
  <c r="O120" i="95"/>
  <c r="N120" i="95"/>
  <c r="R119" i="95"/>
  <c r="P119" i="95"/>
  <c r="O119" i="95"/>
  <c r="N119" i="95"/>
  <c r="R118" i="95"/>
  <c r="P118" i="95"/>
  <c r="O118" i="95"/>
  <c r="N118" i="95"/>
  <c r="P121" i="95" s="1"/>
  <c r="R117" i="95"/>
  <c r="P117" i="95"/>
  <c r="O117" i="95"/>
  <c r="N117" i="95"/>
  <c r="R116" i="95"/>
  <c r="O116" i="95"/>
  <c r="N116" i="95"/>
  <c r="J116" i="95"/>
  <c r="I116" i="95"/>
  <c r="H116" i="95"/>
  <c r="G116" i="95"/>
  <c r="F116" i="95"/>
  <c r="R115" i="95"/>
  <c r="P115" i="95"/>
  <c r="O115" i="95"/>
  <c r="N115" i="95"/>
  <c r="R114" i="95"/>
  <c r="P114" i="95"/>
  <c r="O114" i="95"/>
  <c r="N114" i="95"/>
  <c r="R113" i="95"/>
  <c r="P113" i="95"/>
  <c r="O113" i="95"/>
  <c r="N113" i="95"/>
  <c r="P116" i="95" s="1"/>
  <c r="R112" i="95"/>
  <c r="P112" i="95"/>
  <c r="O112" i="95"/>
  <c r="N112" i="95"/>
  <c r="R111" i="95"/>
  <c r="P111" i="95"/>
  <c r="O111" i="95"/>
  <c r="N111" i="95"/>
  <c r="J111" i="95"/>
  <c r="I111" i="95"/>
  <c r="H111" i="95"/>
  <c r="G111" i="95"/>
  <c r="F111" i="95"/>
  <c r="R110" i="95"/>
  <c r="P110" i="95"/>
  <c r="O110" i="95"/>
  <c r="N110" i="95"/>
  <c r="R109" i="95"/>
  <c r="P109" i="95"/>
  <c r="O109" i="95"/>
  <c r="N109" i="95"/>
  <c r="R108" i="95"/>
  <c r="P108" i="95"/>
  <c r="O108" i="95"/>
  <c r="N108" i="95"/>
  <c r="R107" i="95"/>
  <c r="P107" i="95"/>
  <c r="O107" i="95"/>
  <c r="N107" i="95"/>
  <c r="R106" i="95"/>
  <c r="O106" i="95"/>
  <c r="N106" i="95"/>
  <c r="P106" i="95" s="1"/>
  <c r="R105" i="95"/>
  <c r="O105" i="95"/>
  <c r="P105" i="95" s="1"/>
  <c r="N105" i="95"/>
  <c r="R104" i="95"/>
  <c r="P104" i="95"/>
  <c r="O104" i="95"/>
  <c r="N104" i="95"/>
  <c r="R101" i="95"/>
  <c r="O101" i="95"/>
  <c r="N101" i="95"/>
  <c r="P101" i="95" s="1"/>
  <c r="J101" i="95"/>
  <c r="I101" i="95"/>
  <c r="H101" i="95"/>
  <c r="G101" i="95"/>
  <c r="F101" i="95"/>
  <c r="R100" i="95"/>
  <c r="O100" i="95"/>
  <c r="N100" i="95"/>
  <c r="R99" i="95"/>
  <c r="P99" i="95"/>
  <c r="R98" i="95"/>
  <c r="P98" i="95"/>
  <c r="O98" i="95"/>
  <c r="O99" i="95" s="1"/>
  <c r="N98" i="95"/>
  <c r="N99" i="95" s="1"/>
  <c r="R97" i="95"/>
  <c r="J97" i="95"/>
  <c r="I97" i="95"/>
  <c r="H97" i="95"/>
  <c r="G97" i="95"/>
  <c r="F97" i="95"/>
  <c r="R96" i="95"/>
  <c r="P96" i="95"/>
  <c r="R95" i="95"/>
  <c r="P95" i="95"/>
  <c r="O95" i="95"/>
  <c r="O96" i="95" s="1"/>
  <c r="O97" i="95" s="1"/>
  <c r="P97" i="95" s="1"/>
  <c r="R94" i="95"/>
  <c r="P94" i="95"/>
  <c r="N94" i="95"/>
  <c r="N95" i="95" s="1"/>
  <c r="N96" i="95" s="1"/>
  <c r="N97" i="95" s="1"/>
  <c r="R93" i="95"/>
  <c r="P93" i="95"/>
  <c r="O93" i="95"/>
  <c r="O94" i="95" s="1"/>
  <c r="N93" i="95"/>
  <c r="R92" i="95"/>
  <c r="O92" i="95"/>
  <c r="N92" i="95"/>
  <c r="P92" i="95" s="1"/>
  <c r="R91" i="95"/>
  <c r="O91" i="95"/>
  <c r="P91" i="95" s="1"/>
  <c r="N91" i="95"/>
  <c r="R90" i="95"/>
  <c r="J90" i="95"/>
  <c r="I90" i="95"/>
  <c r="H90" i="95"/>
  <c r="G90" i="95"/>
  <c r="F90" i="95"/>
  <c r="R89" i="95"/>
  <c r="P89" i="95"/>
  <c r="R88" i="95"/>
  <c r="P88" i="95"/>
  <c r="N88" i="95"/>
  <c r="N89" i="95" s="1"/>
  <c r="N90" i="95" s="1"/>
  <c r="R87" i="95"/>
  <c r="P87" i="95"/>
  <c r="O87" i="95"/>
  <c r="O88" i="95" s="1"/>
  <c r="O89" i="95" s="1"/>
  <c r="O90" i="95" s="1"/>
  <c r="R86" i="95"/>
  <c r="P86" i="95"/>
  <c r="O86" i="95"/>
  <c r="N86" i="95"/>
  <c r="N87" i="95" s="1"/>
  <c r="R85" i="95"/>
  <c r="J85" i="95"/>
  <c r="I85" i="95"/>
  <c r="H85" i="95"/>
  <c r="G85" i="95"/>
  <c r="F85" i="95"/>
  <c r="R84" i="95"/>
  <c r="P84" i="95"/>
  <c r="R83" i="95"/>
  <c r="P83" i="95"/>
  <c r="R82" i="95"/>
  <c r="P82" i="95"/>
  <c r="N82" i="95"/>
  <c r="N83" i="95" s="1"/>
  <c r="N84" i="95" s="1"/>
  <c r="N85" i="95" s="1"/>
  <c r="R81" i="95"/>
  <c r="P81" i="95"/>
  <c r="O81" i="95"/>
  <c r="O82" i="95" s="1"/>
  <c r="O83" i="95" s="1"/>
  <c r="O84" i="95" s="1"/>
  <c r="O85" i="95" s="1"/>
  <c r="P85" i="95" s="1"/>
  <c r="N81" i="95"/>
  <c r="R80" i="95"/>
  <c r="O80" i="95"/>
  <c r="N80" i="95"/>
  <c r="P80" i="95" s="1"/>
  <c r="R79" i="95"/>
  <c r="O79" i="95"/>
  <c r="P79" i="95" s="1"/>
  <c r="N79" i="95"/>
  <c r="R78" i="95"/>
  <c r="O78" i="95"/>
  <c r="N78" i="95"/>
  <c r="P78" i="95" s="1"/>
  <c r="R77" i="95"/>
  <c r="O77" i="95"/>
  <c r="P77" i="95" s="1"/>
  <c r="N77" i="95"/>
  <c r="R74" i="95"/>
  <c r="P74" i="95"/>
  <c r="O74" i="95"/>
  <c r="N74" i="95"/>
  <c r="R73" i="95"/>
  <c r="P73" i="95"/>
  <c r="O73" i="95"/>
  <c r="N73" i="95"/>
  <c r="R72" i="95"/>
  <c r="P72" i="95"/>
  <c r="O72" i="95"/>
  <c r="N72" i="95"/>
  <c r="R71" i="95"/>
  <c r="P71" i="95"/>
  <c r="O71" i="95"/>
  <c r="N71" i="95"/>
  <c r="R70" i="95"/>
  <c r="P70" i="95"/>
  <c r="O70" i="95"/>
  <c r="N70" i="95"/>
  <c r="R67" i="95"/>
  <c r="O67" i="95"/>
  <c r="N67" i="95"/>
  <c r="P67" i="95" s="1"/>
  <c r="R66" i="95"/>
  <c r="O66" i="95"/>
  <c r="P66" i="95" s="1"/>
  <c r="N66" i="95"/>
  <c r="R65" i="95"/>
  <c r="J65" i="95"/>
  <c r="I65" i="95"/>
  <c r="H65" i="95"/>
  <c r="G65" i="95"/>
  <c r="F65" i="95"/>
  <c r="R64" i="95"/>
  <c r="P64" i="95"/>
  <c r="O64" i="95"/>
  <c r="O65" i="95" s="1"/>
  <c r="P65" i="95" s="1"/>
  <c r="R63" i="95"/>
  <c r="P63" i="95"/>
  <c r="O63" i="95"/>
  <c r="N63" i="95"/>
  <c r="N64" i="95" s="1"/>
  <c r="N65" i="95" s="1"/>
  <c r="R62" i="95"/>
  <c r="J62" i="95"/>
  <c r="I62" i="95"/>
  <c r="H62" i="95"/>
  <c r="G62" i="95"/>
  <c r="F62" i="95"/>
  <c r="R61" i="95"/>
  <c r="P61" i="95"/>
  <c r="N61" i="95"/>
  <c r="N62" i="95" s="1"/>
  <c r="R60" i="95"/>
  <c r="P60" i="95"/>
  <c r="O60" i="95"/>
  <c r="O61" i="95" s="1"/>
  <c r="O62" i="95" s="1"/>
  <c r="P62" i="95" s="1"/>
  <c r="N60" i="95"/>
  <c r="R59" i="95"/>
  <c r="J59" i="95"/>
  <c r="I59" i="95"/>
  <c r="H59" i="95"/>
  <c r="G59" i="95"/>
  <c r="F59" i="95"/>
  <c r="R58" i="95"/>
  <c r="P58" i="95"/>
  <c r="R57" i="95"/>
  <c r="P57" i="95"/>
  <c r="R56" i="95"/>
  <c r="P56" i="95"/>
  <c r="O56" i="95"/>
  <c r="O57" i="95" s="1"/>
  <c r="O58" i="95" s="1"/>
  <c r="O59" i="95" s="1"/>
  <c r="N56" i="95"/>
  <c r="N57" i="95" s="1"/>
  <c r="N58" i="95" s="1"/>
  <c r="N59" i="95" s="1"/>
  <c r="R55" i="95"/>
  <c r="J55" i="95"/>
  <c r="I55" i="95"/>
  <c r="H55" i="95"/>
  <c r="G55" i="95"/>
  <c r="F55" i="95"/>
  <c r="R54" i="95"/>
  <c r="P54" i="95"/>
  <c r="R53" i="95"/>
  <c r="P53" i="95"/>
  <c r="O53" i="95"/>
  <c r="O54" i="95" s="1"/>
  <c r="O55" i="95" s="1"/>
  <c r="P55" i="95" s="1"/>
  <c r="R52" i="95"/>
  <c r="P52" i="95"/>
  <c r="O52" i="95"/>
  <c r="N52" i="95"/>
  <c r="N53" i="95" s="1"/>
  <c r="N54" i="95" s="1"/>
  <c r="N55" i="95" s="1"/>
  <c r="R51" i="95"/>
  <c r="O51" i="95"/>
  <c r="J51" i="95"/>
  <c r="I51" i="95"/>
  <c r="H51" i="95"/>
  <c r="G51" i="95"/>
  <c r="F51" i="95"/>
  <c r="R50" i="95"/>
  <c r="P50" i="95"/>
  <c r="N50" i="95"/>
  <c r="N51" i="95" s="1"/>
  <c r="R49" i="95"/>
  <c r="P49" i="95"/>
  <c r="O49" i="95"/>
  <c r="O50" i="95" s="1"/>
  <c r="N49" i="95"/>
  <c r="R48" i="95"/>
  <c r="N48" i="95"/>
  <c r="J48" i="95"/>
  <c r="I48" i="95"/>
  <c r="H48" i="95"/>
  <c r="G48" i="95"/>
  <c r="F48" i="95"/>
  <c r="R47" i="95"/>
  <c r="P47" i="95"/>
  <c r="O47" i="95"/>
  <c r="O48" i="95" s="1"/>
  <c r="P48" i="95" s="1"/>
  <c r="R46" i="95"/>
  <c r="P46" i="95"/>
  <c r="O46" i="95"/>
  <c r="N46" i="95"/>
  <c r="N47" i="95" s="1"/>
  <c r="R45" i="95"/>
  <c r="J45" i="95"/>
  <c r="I45" i="95"/>
  <c r="H45" i="95"/>
  <c r="G45" i="95"/>
  <c r="F45" i="95"/>
  <c r="R44" i="95"/>
  <c r="P44" i="95"/>
  <c r="R43" i="95"/>
  <c r="P43" i="95"/>
  <c r="O43" i="95"/>
  <c r="O44" i="95" s="1"/>
  <c r="O45" i="95" s="1"/>
  <c r="P45" i="95" s="1"/>
  <c r="N43" i="95"/>
  <c r="N44" i="95" s="1"/>
  <c r="N45" i="95" s="1"/>
  <c r="R42" i="95"/>
  <c r="J42" i="95"/>
  <c r="I42" i="95"/>
  <c r="H42" i="95"/>
  <c r="G42" i="95"/>
  <c r="F42" i="95"/>
  <c r="R41" i="95"/>
  <c r="P41" i="95"/>
  <c r="N41" i="95"/>
  <c r="N42" i="95" s="1"/>
  <c r="P42" i="95" s="1"/>
  <c r="R40" i="95"/>
  <c r="P40" i="95"/>
  <c r="O40" i="95"/>
  <c r="O41" i="95" s="1"/>
  <c r="O42" i="95" s="1"/>
  <c r="N40" i="95"/>
  <c r="R39" i="95"/>
  <c r="J39" i="95"/>
  <c r="I39" i="95"/>
  <c r="H39" i="95"/>
  <c r="G39" i="95"/>
  <c r="F39" i="95"/>
  <c r="R38" i="95"/>
  <c r="P38" i="95"/>
  <c r="O38" i="95"/>
  <c r="O39" i="95" s="1"/>
  <c r="P39" i="95" s="1"/>
  <c r="R37" i="95"/>
  <c r="P37" i="95"/>
  <c r="O37" i="95"/>
  <c r="N37" i="95"/>
  <c r="N38" i="95" s="1"/>
  <c r="N39" i="95" s="1"/>
  <c r="R36" i="95"/>
  <c r="J36" i="95"/>
  <c r="I36" i="95"/>
  <c r="H36" i="95"/>
  <c r="G36" i="95"/>
  <c r="F36" i="95"/>
  <c r="R35" i="95"/>
  <c r="P35" i="95"/>
  <c r="N35" i="95"/>
  <c r="N36" i="95" s="1"/>
  <c r="R34" i="95"/>
  <c r="P34" i="95"/>
  <c r="O34" i="95"/>
  <c r="O35" i="95" s="1"/>
  <c r="O36" i="95" s="1"/>
  <c r="P36" i="95" s="1"/>
  <c r="N34" i="95"/>
  <c r="R33" i="95"/>
  <c r="J33" i="95"/>
  <c r="I33" i="95"/>
  <c r="H33" i="95"/>
  <c r="G33" i="95"/>
  <c r="F33" i="95"/>
  <c r="R32" i="95"/>
  <c r="P32" i="95"/>
  <c r="O32" i="95"/>
  <c r="O33" i="95" s="1"/>
  <c r="N32" i="95"/>
  <c r="N33" i="95" s="1"/>
  <c r="R31" i="95"/>
  <c r="P31" i="95"/>
  <c r="O31" i="95"/>
  <c r="N31" i="95"/>
  <c r="R30" i="95"/>
  <c r="N30" i="95"/>
  <c r="R29" i="95"/>
  <c r="N29" i="95"/>
  <c r="R28" i="95"/>
  <c r="J28" i="95"/>
  <c r="I28" i="95"/>
  <c r="H28" i="95"/>
  <c r="G28" i="95"/>
  <c r="F28" i="95"/>
  <c r="R27" i="95"/>
  <c r="P27" i="95"/>
  <c r="O27" i="95"/>
  <c r="O28" i="95" s="1"/>
  <c r="R26" i="95"/>
  <c r="P26" i="95"/>
  <c r="O26" i="95"/>
  <c r="N26" i="95"/>
  <c r="N27" i="95" s="1"/>
  <c r="N28" i="95" s="1"/>
  <c r="B1" i="95" a="1"/>
  <c r="B1" i="95" s="1"/>
  <c r="N9" i="95" s="1"/>
  <c r="C200" i="94"/>
  <c r="C199" i="94"/>
  <c r="J198" i="94"/>
  <c r="I198" i="94"/>
  <c r="H198" i="94"/>
  <c r="G198" i="94"/>
  <c r="F198" i="94"/>
  <c r="C192" i="94"/>
  <c r="C184" i="94"/>
  <c r="C176" i="94"/>
  <c r="B167" i="94"/>
  <c r="C207" i="94" s="1"/>
  <c r="B166" i="94"/>
  <c r="B165" i="94"/>
  <c r="B164" i="94"/>
  <c r="C204" i="94" s="1"/>
  <c r="B163" i="94"/>
  <c r="C203" i="94" s="1"/>
  <c r="B162" i="94"/>
  <c r="B161" i="94"/>
  <c r="B160" i="94"/>
  <c r="B159" i="94"/>
  <c r="B158" i="94"/>
  <c r="C198" i="94" s="1"/>
  <c r="B157" i="94"/>
  <c r="B156" i="94"/>
  <c r="C196" i="94" s="1"/>
  <c r="B155" i="94"/>
  <c r="B154" i="94"/>
  <c r="B153" i="94"/>
  <c r="B152" i="94"/>
  <c r="B151" i="94"/>
  <c r="C191" i="94" s="1"/>
  <c r="B150" i="94"/>
  <c r="C190" i="94" s="1"/>
  <c r="B149" i="94"/>
  <c r="B148" i="94"/>
  <c r="C188" i="94" s="1"/>
  <c r="B147" i="94"/>
  <c r="B146" i="94"/>
  <c r="B145" i="94"/>
  <c r="B144" i="94"/>
  <c r="B143" i="94"/>
  <c r="C183" i="94" s="1"/>
  <c r="B142" i="94"/>
  <c r="C182" i="94" s="1"/>
  <c r="B141" i="94"/>
  <c r="B140" i="94"/>
  <c r="C180" i="94" s="1"/>
  <c r="B139" i="94"/>
  <c r="B138" i="94"/>
  <c r="B137" i="94"/>
  <c r="C177" i="94" s="1"/>
  <c r="B136" i="94"/>
  <c r="B135" i="94"/>
  <c r="C175" i="94" s="1"/>
  <c r="B134" i="94"/>
  <c r="C174" i="94" s="1"/>
  <c r="B133" i="94"/>
  <c r="Q130" i="94"/>
  <c r="R129" i="94"/>
  <c r="O129" i="94"/>
  <c r="N129" i="94"/>
  <c r="P129" i="94" s="1"/>
  <c r="B169" i="94" s="1"/>
  <c r="R128" i="94"/>
  <c r="O128" i="94"/>
  <c r="N128" i="94"/>
  <c r="P128" i="94" s="1"/>
  <c r="B168" i="94" s="1"/>
  <c r="C208" i="94" s="1"/>
  <c r="P127" i="94"/>
  <c r="O127" i="94"/>
  <c r="N127" i="94"/>
  <c r="O126" i="94"/>
  <c r="N126" i="94"/>
  <c r="J126" i="94"/>
  <c r="I126" i="94"/>
  <c r="H126" i="94"/>
  <c r="G126" i="94"/>
  <c r="F126" i="94"/>
  <c r="P125" i="94"/>
  <c r="O125" i="94"/>
  <c r="N125" i="94"/>
  <c r="P124" i="94"/>
  <c r="O124" i="94"/>
  <c r="N124" i="94"/>
  <c r="P123" i="94"/>
  <c r="O123" i="94"/>
  <c r="N123" i="94"/>
  <c r="P126" i="94" s="1"/>
  <c r="R122" i="94"/>
  <c r="P122" i="94"/>
  <c r="O122" i="94"/>
  <c r="N122" i="94"/>
  <c r="R121" i="94"/>
  <c r="O121" i="94"/>
  <c r="N121" i="94"/>
  <c r="J121" i="94"/>
  <c r="I121" i="94"/>
  <c r="H121" i="94"/>
  <c r="G121" i="94"/>
  <c r="F121" i="94"/>
  <c r="R120" i="94"/>
  <c r="P120" i="94"/>
  <c r="O120" i="94"/>
  <c r="N120" i="94"/>
  <c r="R119" i="94"/>
  <c r="P119" i="94"/>
  <c r="O119" i="94"/>
  <c r="N119" i="94"/>
  <c r="R118" i="94"/>
  <c r="P118" i="94"/>
  <c r="O118" i="94"/>
  <c r="N118" i="94"/>
  <c r="P121" i="94" s="1"/>
  <c r="R117" i="94"/>
  <c r="P117" i="94"/>
  <c r="O117" i="94"/>
  <c r="N117" i="94"/>
  <c r="R116" i="94"/>
  <c r="O116" i="94"/>
  <c r="N116" i="94"/>
  <c r="J116" i="94"/>
  <c r="I116" i="94"/>
  <c r="H116" i="94"/>
  <c r="G116" i="94"/>
  <c r="F116" i="94"/>
  <c r="R115" i="94"/>
  <c r="P115" i="94"/>
  <c r="O115" i="94"/>
  <c r="N115" i="94"/>
  <c r="R114" i="94"/>
  <c r="P114" i="94"/>
  <c r="O114" i="94"/>
  <c r="N114" i="94"/>
  <c r="R113" i="94"/>
  <c r="P113" i="94"/>
  <c r="O113" i="94"/>
  <c r="N113" i="94"/>
  <c r="P116" i="94" s="1"/>
  <c r="R112" i="94"/>
  <c r="P112" i="94"/>
  <c r="O112" i="94"/>
  <c r="N112" i="94"/>
  <c r="R111" i="94"/>
  <c r="P111" i="94"/>
  <c r="O111" i="94"/>
  <c r="N111" i="94"/>
  <c r="J111" i="94"/>
  <c r="I111" i="94"/>
  <c r="H111" i="94"/>
  <c r="G111" i="94"/>
  <c r="F111" i="94"/>
  <c r="R110" i="94"/>
  <c r="P110" i="94"/>
  <c r="O110" i="94"/>
  <c r="N110" i="94"/>
  <c r="R109" i="94"/>
  <c r="P109" i="94"/>
  <c r="O109" i="94"/>
  <c r="N109" i="94"/>
  <c r="R108" i="94"/>
  <c r="P108" i="94"/>
  <c r="O108" i="94"/>
  <c r="N108" i="94"/>
  <c r="R107" i="94"/>
  <c r="P107" i="94"/>
  <c r="O107" i="94"/>
  <c r="N107" i="94"/>
  <c r="R106" i="94"/>
  <c r="P106" i="94"/>
  <c r="O106" i="94"/>
  <c r="N106" i="94"/>
  <c r="R105" i="94"/>
  <c r="O105" i="94"/>
  <c r="P105" i="94" s="1"/>
  <c r="N105" i="94"/>
  <c r="R104" i="94"/>
  <c r="P104" i="94"/>
  <c r="O104" i="94"/>
  <c r="N104" i="94"/>
  <c r="R101" i="94"/>
  <c r="O101" i="94"/>
  <c r="N101" i="94"/>
  <c r="P101" i="94" s="1"/>
  <c r="J101" i="94"/>
  <c r="I101" i="94"/>
  <c r="H101" i="94"/>
  <c r="G101" i="94"/>
  <c r="F101" i="94"/>
  <c r="R100" i="94"/>
  <c r="O100" i="94"/>
  <c r="P100" i="94" s="1"/>
  <c r="N100" i="94"/>
  <c r="R99" i="94"/>
  <c r="R98" i="94"/>
  <c r="P98" i="94"/>
  <c r="O98" i="94"/>
  <c r="O99" i="94" s="1"/>
  <c r="N98" i="94"/>
  <c r="N99" i="94" s="1"/>
  <c r="R97" i="94"/>
  <c r="J97" i="94"/>
  <c r="I97" i="94"/>
  <c r="H97" i="94"/>
  <c r="G97" i="94"/>
  <c r="F97" i="94"/>
  <c r="R96" i="94"/>
  <c r="P96" i="94"/>
  <c r="R95" i="94"/>
  <c r="P95" i="94"/>
  <c r="R94" i="94"/>
  <c r="P94" i="94"/>
  <c r="N94" i="94"/>
  <c r="N95" i="94" s="1"/>
  <c r="N96" i="94" s="1"/>
  <c r="N97" i="94" s="1"/>
  <c r="R93" i="94"/>
  <c r="P93" i="94"/>
  <c r="O93" i="94"/>
  <c r="O94" i="94" s="1"/>
  <c r="O95" i="94" s="1"/>
  <c r="O96" i="94" s="1"/>
  <c r="O97" i="94" s="1"/>
  <c r="P97" i="94" s="1"/>
  <c r="N93" i="94"/>
  <c r="R92" i="94"/>
  <c r="P92" i="94"/>
  <c r="O92" i="94"/>
  <c r="N92" i="94"/>
  <c r="R91" i="94"/>
  <c r="P91" i="94"/>
  <c r="O91" i="94"/>
  <c r="N91" i="94"/>
  <c r="R90" i="94"/>
  <c r="J90" i="94"/>
  <c r="I90" i="94"/>
  <c r="H90" i="94"/>
  <c r="G90" i="94"/>
  <c r="F90" i="94"/>
  <c r="R89" i="94"/>
  <c r="P89" i="94"/>
  <c r="R88" i="94"/>
  <c r="P88" i="94"/>
  <c r="R87" i="94"/>
  <c r="P87" i="94"/>
  <c r="O87" i="94"/>
  <c r="O88" i="94" s="1"/>
  <c r="O89" i="94" s="1"/>
  <c r="O90" i="94" s="1"/>
  <c r="N87" i="94"/>
  <c r="N88" i="94" s="1"/>
  <c r="N89" i="94" s="1"/>
  <c r="N90" i="94" s="1"/>
  <c r="R86" i="94"/>
  <c r="P86" i="94"/>
  <c r="O86" i="94"/>
  <c r="N86" i="94"/>
  <c r="R85" i="94"/>
  <c r="J85" i="94"/>
  <c r="I85" i="94"/>
  <c r="H85" i="94"/>
  <c r="G85" i="94"/>
  <c r="F85" i="94"/>
  <c r="R84" i="94"/>
  <c r="P84" i="94"/>
  <c r="R83" i="94"/>
  <c r="P83" i="94"/>
  <c r="R82" i="94"/>
  <c r="P82" i="94"/>
  <c r="O82" i="94"/>
  <c r="O83" i="94" s="1"/>
  <c r="O84" i="94" s="1"/>
  <c r="O85" i="94" s="1"/>
  <c r="N82" i="94"/>
  <c r="N83" i="94" s="1"/>
  <c r="N84" i="94" s="1"/>
  <c r="N85" i="94" s="1"/>
  <c r="R81" i="94"/>
  <c r="P81" i="94"/>
  <c r="O81" i="94"/>
  <c r="N81" i="94"/>
  <c r="R80" i="94"/>
  <c r="O80" i="94"/>
  <c r="N80" i="94"/>
  <c r="P80" i="94" s="1"/>
  <c r="R79" i="94"/>
  <c r="O79" i="94"/>
  <c r="N79" i="94"/>
  <c r="P79" i="94" s="1"/>
  <c r="R78" i="94"/>
  <c r="O78" i="94"/>
  <c r="N78" i="94"/>
  <c r="P78" i="94" s="1"/>
  <c r="R77" i="94"/>
  <c r="O77" i="94"/>
  <c r="N77" i="94"/>
  <c r="P77" i="94" s="1"/>
  <c r="R74" i="94"/>
  <c r="P74" i="94"/>
  <c r="O74" i="94"/>
  <c r="N74" i="94"/>
  <c r="R73" i="94"/>
  <c r="P73" i="94"/>
  <c r="O73" i="94"/>
  <c r="N73" i="94"/>
  <c r="R72" i="94"/>
  <c r="P72" i="94"/>
  <c r="O72" i="94"/>
  <c r="N72" i="94"/>
  <c r="R71" i="94"/>
  <c r="P71" i="94"/>
  <c r="O71" i="94"/>
  <c r="N71" i="94"/>
  <c r="R70" i="94"/>
  <c r="P70" i="94"/>
  <c r="O70" i="94"/>
  <c r="N70" i="94"/>
  <c r="R67" i="94"/>
  <c r="P67" i="94"/>
  <c r="O67" i="94"/>
  <c r="N67" i="94"/>
  <c r="R66" i="94"/>
  <c r="O66" i="94"/>
  <c r="P66" i="94" s="1"/>
  <c r="N66" i="94"/>
  <c r="R65" i="94"/>
  <c r="N65" i="94"/>
  <c r="J65" i="94"/>
  <c r="I65" i="94"/>
  <c r="H65" i="94"/>
  <c r="G65" i="94"/>
  <c r="F65" i="94"/>
  <c r="R64" i="94"/>
  <c r="P64" i="94"/>
  <c r="O64" i="94"/>
  <c r="O65" i="94" s="1"/>
  <c r="P65" i="94" s="1"/>
  <c r="N64" i="94"/>
  <c r="R63" i="94"/>
  <c r="P63" i="94"/>
  <c r="O63" i="94"/>
  <c r="N63" i="94"/>
  <c r="R62" i="94"/>
  <c r="O62" i="94"/>
  <c r="P62" i="94" s="1"/>
  <c r="J62" i="94"/>
  <c r="I62" i="94"/>
  <c r="H62" i="94"/>
  <c r="G62" i="94"/>
  <c r="F62" i="94"/>
  <c r="R61" i="94"/>
  <c r="P61" i="94"/>
  <c r="O61" i="94"/>
  <c r="N61" i="94"/>
  <c r="N62" i="94" s="1"/>
  <c r="R60" i="94"/>
  <c r="P60" i="94"/>
  <c r="O60" i="94"/>
  <c r="N60" i="94"/>
  <c r="R59" i="94"/>
  <c r="J59" i="94"/>
  <c r="I59" i="94"/>
  <c r="H59" i="94"/>
  <c r="G59" i="94"/>
  <c r="F59" i="94"/>
  <c r="R58" i="94"/>
  <c r="P58" i="94"/>
  <c r="O58" i="94"/>
  <c r="O59" i="94" s="1"/>
  <c r="N58" i="94"/>
  <c r="N59" i="94" s="1"/>
  <c r="R57" i="94"/>
  <c r="P57" i="94"/>
  <c r="R56" i="94"/>
  <c r="P56" i="94"/>
  <c r="O56" i="94"/>
  <c r="O57" i="94" s="1"/>
  <c r="N56" i="94"/>
  <c r="N57" i="94" s="1"/>
  <c r="R55" i="94"/>
  <c r="J55" i="94"/>
  <c r="I55" i="94"/>
  <c r="H55" i="94"/>
  <c r="G55" i="94"/>
  <c r="F55" i="94"/>
  <c r="R54" i="94"/>
  <c r="P54" i="94"/>
  <c r="R53" i="94"/>
  <c r="P53" i="94"/>
  <c r="O53" i="94"/>
  <c r="O54" i="94" s="1"/>
  <c r="O55" i="94" s="1"/>
  <c r="P55" i="94" s="1"/>
  <c r="R52" i="94"/>
  <c r="P52" i="94"/>
  <c r="O52" i="94"/>
  <c r="N52" i="94"/>
  <c r="N53" i="94" s="1"/>
  <c r="N54" i="94" s="1"/>
  <c r="N55" i="94" s="1"/>
  <c r="R51" i="94"/>
  <c r="O51" i="94"/>
  <c r="P51" i="94" s="1"/>
  <c r="J51" i="94"/>
  <c r="I51" i="94"/>
  <c r="H51" i="94"/>
  <c r="G51" i="94"/>
  <c r="F51" i="94"/>
  <c r="R50" i="94"/>
  <c r="P50" i="94"/>
  <c r="R49" i="94"/>
  <c r="P49" i="94"/>
  <c r="O49" i="94"/>
  <c r="O50" i="94" s="1"/>
  <c r="N49" i="94"/>
  <c r="N50" i="94" s="1"/>
  <c r="N51" i="94" s="1"/>
  <c r="R48" i="94"/>
  <c r="J48" i="94"/>
  <c r="I48" i="94"/>
  <c r="H48" i="94"/>
  <c r="G48" i="94"/>
  <c r="F48" i="94"/>
  <c r="R47" i="94"/>
  <c r="P47" i="94"/>
  <c r="R46" i="94"/>
  <c r="P46" i="94"/>
  <c r="O46" i="94"/>
  <c r="O47" i="94" s="1"/>
  <c r="O48" i="94" s="1"/>
  <c r="N46" i="94"/>
  <c r="N47" i="94" s="1"/>
  <c r="N48" i="94" s="1"/>
  <c r="R45" i="94"/>
  <c r="J45" i="94"/>
  <c r="I45" i="94"/>
  <c r="H45" i="94"/>
  <c r="G45" i="94"/>
  <c r="F45" i="94"/>
  <c r="R44" i="94"/>
  <c r="P44" i="94"/>
  <c r="R43" i="94"/>
  <c r="P43" i="94"/>
  <c r="O43" i="94"/>
  <c r="O44" i="94" s="1"/>
  <c r="O45" i="94" s="1"/>
  <c r="P45" i="94" s="1"/>
  <c r="N43" i="94"/>
  <c r="N44" i="94" s="1"/>
  <c r="N45" i="94" s="1"/>
  <c r="R42" i="94"/>
  <c r="J42" i="94"/>
  <c r="I42" i="94"/>
  <c r="H42" i="94"/>
  <c r="G42" i="94"/>
  <c r="F42" i="94"/>
  <c r="R41" i="94"/>
  <c r="P41" i="94"/>
  <c r="N41" i="94"/>
  <c r="N42" i="94" s="1"/>
  <c r="R40" i="94"/>
  <c r="P40" i="94"/>
  <c r="O40" i="94"/>
  <c r="O41" i="94" s="1"/>
  <c r="O42" i="94" s="1"/>
  <c r="P42" i="94" s="1"/>
  <c r="N40" i="94"/>
  <c r="R39" i="94"/>
  <c r="N39" i="94"/>
  <c r="J39" i="94"/>
  <c r="I39" i="94"/>
  <c r="H39" i="94"/>
  <c r="G39" i="94"/>
  <c r="F39" i="94"/>
  <c r="R38" i="94"/>
  <c r="P38" i="94"/>
  <c r="O38" i="94"/>
  <c r="O39" i="94" s="1"/>
  <c r="P39" i="94" s="1"/>
  <c r="N38" i="94"/>
  <c r="R37" i="94"/>
  <c r="P37" i="94"/>
  <c r="O37" i="94"/>
  <c r="N37" i="94"/>
  <c r="R36" i="94"/>
  <c r="O36" i="94"/>
  <c r="J36" i="94"/>
  <c r="I36" i="94"/>
  <c r="H36" i="94"/>
  <c r="G36" i="94"/>
  <c r="F36" i="94"/>
  <c r="R35" i="94"/>
  <c r="P35" i="94"/>
  <c r="O35" i="94"/>
  <c r="N35" i="94"/>
  <c r="N36" i="94" s="1"/>
  <c r="R34" i="94"/>
  <c r="P34" i="94"/>
  <c r="O34" i="94"/>
  <c r="N34" i="94"/>
  <c r="R33" i="94"/>
  <c r="N33" i="94"/>
  <c r="J33" i="94"/>
  <c r="I33" i="94"/>
  <c r="H33" i="94"/>
  <c r="G33" i="94"/>
  <c r="F33" i="94"/>
  <c r="R32" i="94"/>
  <c r="P32" i="94"/>
  <c r="O32" i="94"/>
  <c r="O33" i="94" s="1"/>
  <c r="P33" i="94" s="1"/>
  <c r="N32" i="94"/>
  <c r="R31" i="94"/>
  <c r="P31" i="94"/>
  <c r="O31" i="94"/>
  <c r="N31" i="94"/>
  <c r="R30" i="94"/>
  <c r="N30" i="94"/>
  <c r="R29" i="94"/>
  <c r="N29" i="94"/>
  <c r="R28" i="94"/>
  <c r="J28" i="94"/>
  <c r="I28" i="94"/>
  <c r="H28" i="94"/>
  <c r="G28" i="94"/>
  <c r="F28" i="94"/>
  <c r="R27" i="94"/>
  <c r="P27" i="94"/>
  <c r="O27" i="94"/>
  <c r="O28" i="94" s="1"/>
  <c r="R26" i="94"/>
  <c r="P26" i="94"/>
  <c r="O26" i="94"/>
  <c r="N26" i="94"/>
  <c r="N27" i="94" s="1"/>
  <c r="N28" i="94" s="1"/>
  <c r="B1" i="94" a="1"/>
  <c r="B1" i="94" s="1"/>
  <c r="N9" i="94" s="1"/>
  <c r="B1" i="43" a="1"/>
  <c r="B1" i="43" s="1"/>
  <c r="G198" i="43"/>
  <c r="H198" i="43"/>
  <c r="I198" i="43"/>
  <c r="J198" i="43"/>
  <c r="F198" i="43"/>
  <c r="F134" i="43"/>
  <c r="G134" i="43"/>
  <c r="H134" i="43"/>
  <c r="I134" i="43"/>
  <c r="J134" i="43"/>
  <c r="F135" i="43"/>
  <c r="G135" i="43"/>
  <c r="H135" i="43"/>
  <c r="I135" i="43"/>
  <c r="J135" i="43"/>
  <c r="G136" i="43"/>
  <c r="H136" i="43"/>
  <c r="I136" i="43"/>
  <c r="J136" i="43"/>
  <c r="F137" i="43"/>
  <c r="G137" i="43"/>
  <c r="H137" i="43"/>
  <c r="I137" i="43"/>
  <c r="J137" i="43"/>
  <c r="G138" i="43"/>
  <c r="H138" i="43"/>
  <c r="I138" i="43"/>
  <c r="J138" i="43"/>
  <c r="G139" i="43"/>
  <c r="H139" i="43"/>
  <c r="I139" i="43"/>
  <c r="J139" i="43"/>
  <c r="F140" i="43"/>
  <c r="G140" i="43"/>
  <c r="H140" i="43"/>
  <c r="I140" i="43"/>
  <c r="J140" i="43"/>
  <c r="F141" i="43"/>
  <c r="G141" i="43"/>
  <c r="H141" i="43"/>
  <c r="I141" i="43"/>
  <c r="J141" i="43"/>
  <c r="F142" i="43"/>
  <c r="G142" i="43"/>
  <c r="H142" i="43"/>
  <c r="I142" i="43"/>
  <c r="J142" i="43"/>
  <c r="F143" i="43"/>
  <c r="G143" i="43"/>
  <c r="H143" i="43"/>
  <c r="I143" i="43"/>
  <c r="J143" i="43"/>
  <c r="F144" i="43"/>
  <c r="G144" i="43"/>
  <c r="H144" i="43"/>
  <c r="I144" i="43"/>
  <c r="J144" i="43"/>
  <c r="F145" i="43"/>
  <c r="G145" i="43"/>
  <c r="H145" i="43"/>
  <c r="I145" i="43"/>
  <c r="J145" i="43"/>
  <c r="F146" i="43"/>
  <c r="G146" i="43"/>
  <c r="H146" i="43"/>
  <c r="I146" i="43"/>
  <c r="J146" i="43"/>
  <c r="F147" i="43"/>
  <c r="G147" i="43"/>
  <c r="H147" i="43"/>
  <c r="I147" i="43"/>
  <c r="J147" i="43"/>
  <c r="F148" i="43"/>
  <c r="G148" i="43"/>
  <c r="H148" i="43"/>
  <c r="I148" i="43"/>
  <c r="J148" i="43"/>
  <c r="F149" i="43"/>
  <c r="G149" i="43"/>
  <c r="H149" i="43"/>
  <c r="I149" i="43"/>
  <c r="J149" i="43"/>
  <c r="F150" i="43"/>
  <c r="G150" i="43"/>
  <c r="H150" i="43"/>
  <c r="I150" i="43"/>
  <c r="J150" i="43"/>
  <c r="F151" i="43"/>
  <c r="G151" i="43"/>
  <c r="H151" i="43"/>
  <c r="I151" i="43"/>
  <c r="J151" i="43"/>
  <c r="F152" i="43"/>
  <c r="G152" i="43"/>
  <c r="H152" i="43"/>
  <c r="I152" i="43"/>
  <c r="J152" i="43"/>
  <c r="F153" i="43"/>
  <c r="G153" i="43"/>
  <c r="H153" i="43"/>
  <c r="I153" i="43"/>
  <c r="J153" i="43"/>
  <c r="F154" i="43"/>
  <c r="G154" i="43"/>
  <c r="H154" i="43"/>
  <c r="I154" i="43"/>
  <c r="J154" i="43"/>
  <c r="F155" i="43"/>
  <c r="G155" i="43"/>
  <c r="H155" i="43"/>
  <c r="I155" i="43"/>
  <c r="J155" i="43"/>
  <c r="F156" i="43"/>
  <c r="G156" i="43"/>
  <c r="H156" i="43"/>
  <c r="I156" i="43"/>
  <c r="J156" i="43"/>
  <c r="F157" i="43"/>
  <c r="G157" i="43"/>
  <c r="H157" i="43"/>
  <c r="I157" i="43"/>
  <c r="J157" i="43"/>
  <c r="F158" i="43"/>
  <c r="G158" i="43"/>
  <c r="H158" i="43"/>
  <c r="I158" i="43"/>
  <c r="J158" i="43"/>
  <c r="F159" i="43"/>
  <c r="G159" i="43"/>
  <c r="H159" i="43"/>
  <c r="I159" i="43"/>
  <c r="J159" i="43"/>
  <c r="F160" i="43"/>
  <c r="G160" i="43"/>
  <c r="H160" i="43"/>
  <c r="I160" i="43"/>
  <c r="J160" i="43"/>
  <c r="F161" i="43"/>
  <c r="G161" i="43"/>
  <c r="H161" i="43"/>
  <c r="I161" i="43"/>
  <c r="J161" i="43"/>
  <c r="F162" i="43"/>
  <c r="G162" i="43"/>
  <c r="H162" i="43"/>
  <c r="I162" i="43"/>
  <c r="J162" i="43"/>
  <c r="F163" i="43"/>
  <c r="G163" i="43"/>
  <c r="H163" i="43"/>
  <c r="I163" i="43"/>
  <c r="J163" i="43"/>
  <c r="H164" i="43"/>
  <c r="I164" i="43"/>
  <c r="J164" i="43"/>
  <c r="H165" i="43"/>
  <c r="I165" i="43"/>
  <c r="J165" i="43"/>
  <c r="H166" i="43"/>
  <c r="I166" i="43"/>
  <c r="J166" i="43"/>
  <c r="F167" i="43"/>
  <c r="F168" i="43"/>
  <c r="G168" i="43"/>
  <c r="H168" i="43"/>
  <c r="I168" i="43"/>
  <c r="J168" i="43"/>
  <c r="F169" i="43"/>
  <c r="G169" i="43"/>
  <c r="H169" i="43"/>
  <c r="I169" i="43"/>
  <c r="J169" i="43"/>
  <c r="J133" i="43"/>
  <c r="I133" i="43"/>
  <c r="H133" i="43"/>
  <c r="G133" i="43"/>
  <c r="F133" i="43"/>
  <c r="B139" i="43"/>
  <c r="B160" i="43"/>
  <c r="B159" i="43"/>
  <c r="B148" i="43"/>
  <c r="B147" i="43"/>
  <c r="B146" i="43"/>
  <c r="B145" i="43"/>
  <c r="B142" i="43"/>
  <c r="B141" i="43"/>
  <c r="B140" i="43"/>
  <c r="B138" i="43"/>
  <c r="B137" i="43"/>
  <c r="F126" i="43"/>
  <c r="J51" i="43"/>
  <c r="I51" i="43"/>
  <c r="H51" i="43"/>
  <c r="G51" i="43"/>
  <c r="F51" i="43"/>
  <c r="J48" i="43"/>
  <c r="I48" i="43"/>
  <c r="H48" i="43"/>
  <c r="G48" i="43"/>
  <c r="F48" i="43"/>
  <c r="J45" i="43"/>
  <c r="I45" i="43"/>
  <c r="H45" i="43"/>
  <c r="G45" i="43"/>
  <c r="F45" i="43"/>
  <c r="G42" i="43"/>
  <c r="H42" i="43"/>
  <c r="I42" i="43"/>
  <c r="J42" i="43"/>
  <c r="F42" i="43"/>
  <c r="F139" i="43" s="1"/>
  <c r="O31" i="43"/>
  <c r="O101" i="43"/>
  <c r="N101" i="43"/>
  <c r="O74" i="43"/>
  <c r="O73" i="43"/>
  <c r="O52" i="43"/>
  <c r="O34" i="43"/>
  <c r="N34" i="43"/>
  <c r="N31" i="43"/>
  <c r="C34" i="4" a="1"/>
  <c r="C33" i="4" a="1"/>
  <c r="C52" i="4" a="1"/>
  <c r="C80" i="4" a="1"/>
  <c r="C72" i="4" a="1"/>
  <c r="C24" i="4" a="1"/>
  <c r="C56" i="4" a="1"/>
  <c r="C32" i="4" a="1"/>
  <c r="C65" i="4" a="1"/>
  <c r="C77" i="4" a="1"/>
  <c r="M81" i="4" a="1"/>
  <c r="C76" i="4" a="1"/>
  <c r="C27" i="4" a="1"/>
  <c r="C68" i="4" a="1"/>
  <c r="C29" i="4" a="1"/>
  <c r="C39" i="4" a="1"/>
  <c r="M80" i="4" a="1"/>
  <c r="C38" i="4" a="1"/>
  <c r="C60" i="4" a="1"/>
  <c r="C84" i="4" a="1"/>
  <c r="C51" i="4" a="1"/>
  <c r="C53" i="4" a="1"/>
  <c r="M79" i="4" a="1"/>
  <c r="C83" i="4" a="1"/>
  <c r="C82" i="4" a="1"/>
  <c r="C73" i="4" a="1"/>
  <c r="C58" i="4" a="1"/>
  <c r="C40" i="4" a="1"/>
  <c r="C28" i="4" a="1"/>
  <c r="C81" i="4" a="1"/>
  <c r="C55" i="4" a="1"/>
  <c r="C62" i="4" a="1"/>
  <c r="C69" i="4" a="1"/>
  <c r="C35" i="4" a="1"/>
  <c r="C54" i="4" a="1"/>
  <c r="C63" i="4" a="1"/>
  <c r="M84" i="4" a="1"/>
  <c r="C26" i="4" a="1"/>
  <c r="M83" i="4" a="1"/>
  <c r="C59" i="4" a="1"/>
  <c r="M82" i="4" a="1"/>
  <c r="C41" i="4" a="1"/>
  <c r="C74" i="4" a="1"/>
  <c r="C79" i="4" a="1"/>
  <c r="C43" i="4" a="1"/>
  <c r="C70" i="4" a="1"/>
  <c r="C36" i="4" a="1"/>
  <c r="C25" i="4" a="1"/>
  <c r="C42" i="4" a="1"/>
  <c r="C67" i="4" a="1"/>
  <c r="C31" i="4" a="1"/>
  <c r="C75" i="4" a="1"/>
  <c r="C66" i="4" a="1"/>
  <c r="C61" i="4" a="1"/>
  <c r="M84" i="4" l="1"/>
  <c r="M83" i="4"/>
  <c r="M82" i="4"/>
  <c r="M81" i="4"/>
  <c r="M80" i="4"/>
  <c r="M79" i="4"/>
  <c r="C208" i="98"/>
  <c r="Q132" i="98"/>
  <c r="O107" i="98"/>
  <c r="P106" i="98"/>
  <c r="C194" i="98"/>
  <c r="P33" i="98"/>
  <c r="P39" i="98"/>
  <c r="P51" i="98"/>
  <c r="C198" i="98"/>
  <c r="C205" i="98"/>
  <c r="C174" i="98"/>
  <c r="P91" i="98"/>
  <c r="B103" i="98"/>
  <c r="B76" i="98"/>
  <c r="B171" i="98"/>
  <c r="B25" i="98"/>
  <c r="B18" i="98"/>
  <c r="P62" i="98"/>
  <c r="P66" i="98"/>
  <c r="C209" i="98"/>
  <c r="C178" i="98"/>
  <c r="I3" i="98"/>
  <c r="P36" i="98"/>
  <c r="C182" i="98"/>
  <c r="C186" i="98"/>
  <c r="C202" i="98"/>
  <c r="O29" i="98"/>
  <c r="P28" i="98"/>
  <c r="P90" i="98"/>
  <c r="B131" i="98"/>
  <c r="C190" i="98"/>
  <c r="C177" i="98"/>
  <c r="C185" i="98"/>
  <c r="C193" i="98"/>
  <c r="C184" i="98"/>
  <c r="C192" i="98"/>
  <c r="C199" i="98"/>
  <c r="C206" i="98"/>
  <c r="C208" i="97"/>
  <c r="P66" i="97"/>
  <c r="C186" i="97"/>
  <c r="P36" i="97"/>
  <c r="P90" i="97"/>
  <c r="P106" i="97"/>
  <c r="P65" i="97"/>
  <c r="C174" i="97"/>
  <c r="C178" i="97"/>
  <c r="C194" i="97"/>
  <c r="B103" i="97"/>
  <c r="B76" i="97"/>
  <c r="B171" i="97"/>
  <c r="B25" i="97"/>
  <c r="B18" i="97"/>
  <c r="C173" i="97"/>
  <c r="B69" i="97"/>
  <c r="C182" i="97"/>
  <c r="C190" i="97"/>
  <c r="C198" i="97"/>
  <c r="P62" i="97"/>
  <c r="P59" i="97"/>
  <c r="O29" i="97"/>
  <c r="P28" i="97"/>
  <c r="P33" i="97"/>
  <c r="I3" i="97"/>
  <c r="P39" i="97"/>
  <c r="P91" i="97"/>
  <c r="C202" i="97"/>
  <c r="C209" i="97"/>
  <c r="C176" i="97"/>
  <c r="C184" i="97"/>
  <c r="C192" i="97"/>
  <c r="C206" i="97"/>
  <c r="C204" i="97"/>
  <c r="O29" i="96"/>
  <c r="P28" i="96"/>
  <c r="B103" i="96"/>
  <c r="B76" i="96"/>
  <c r="B171" i="96"/>
  <c r="B25" i="96"/>
  <c r="B69" i="96"/>
  <c r="I3" i="96"/>
  <c r="B131" i="96"/>
  <c r="B18" i="96"/>
  <c r="P59" i="96"/>
  <c r="C209" i="96"/>
  <c r="C174" i="96"/>
  <c r="P90" i="96"/>
  <c r="P62" i="96"/>
  <c r="C201" i="96"/>
  <c r="P33" i="96"/>
  <c r="P39" i="96"/>
  <c r="C206" i="96"/>
  <c r="C177" i="96"/>
  <c r="C181" i="96"/>
  <c r="C189" i="96"/>
  <c r="C193" i="96"/>
  <c r="C173" i="96"/>
  <c r="Q132" i="96"/>
  <c r="C197" i="96"/>
  <c r="P36" i="96"/>
  <c r="C205" i="96"/>
  <c r="C178" i="96"/>
  <c r="C186" i="96"/>
  <c r="C194" i="96"/>
  <c r="C182" i="96"/>
  <c r="C190" i="96"/>
  <c r="C198" i="96"/>
  <c r="B103" i="95"/>
  <c r="B76" i="95"/>
  <c r="B171" i="95"/>
  <c r="B25" i="95"/>
  <c r="B69" i="95"/>
  <c r="I3" i="95"/>
  <c r="B131" i="95"/>
  <c r="B18" i="95"/>
  <c r="O29" i="95"/>
  <c r="P28" i="95"/>
  <c r="P59" i="95"/>
  <c r="C209" i="95"/>
  <c r="C173" i="95"/>
  <c r="Q132" i="95"/>
  <c r="P100" i="95"/>
  <c r="P33" i="95"/>
  <c r="P90" i="95"/>
  <c r="C208" i="95"/>
  <c r="C174" i="95"/>
  <c r="P51" i="95"/>
  <c r="C205" i="95"/>
  <c r="C178" i="95"/>
  <c r="C186" i="95"/>
  <c r="C194" i="95"/>
  <c r="C201" i="95"/>
  <c r="C184" i="95"/>
  <c r="C192" i="95"/>
  <c r="C199" i="95"/>
  <c r="C206" i="95"/>
  <c r="C181" i="95"/>
  <c r="C189" i="95"/>
  <c r="C197" i="95"/>
  <c r="P28" i="94"/>
  <c r="O29" i="94"/>
  <c r="B103" i="94"/>
  <c r="B76" i="94"/>
  <c r="B171" i="94"/>
  <c r="B25" i="94"/>
  <c r="B69" i="94"/>
  <c r="I3" i="94"/>
  <c r="B131" i="94"/>
  <c r="B18" i="94"/>
  <c r="P48" i="94"/>
  <c r="P36" i="94"/>
  <c r="P59" i="94"/>
  <c r="P90" i="94"/>
  <c r="P99" i="94"/>
  <c r="C206" i="94"/>
  <c r="C197" i="94"/>
  <c r="C189" i="94"/>
  <c r="C173" i="94"/>
  <c r="Q132" i="94"/>
  <c r="C201" i="94"/>
  <c r="C193" i="94"/>
  <c r="P85" i="94"/>
  <c r="C181" i="94"/>
  <c r="C209" i="94"/>
  <c r="C185" i="94"/>
  <c r="C179" i="94"/>
  <c r="C187" i="94"/>
  <c r="C195" i="94"/>
  <c r="C202" i="94"/>
  <c r="C178" i="94"/>
  <c r="C186" i="94"/>
  <c r="C194" i="94"/>
  <c r="C205" i="94"/>
  <c r="C82" i="4"/>
  <c r="C81" i="4"/>
  <c r="C79" i="4"/>
  <c r="C83" i="4"/>
  <c r="C80" i="4"/>
  <c r="C84" i="4"/>
  <c r="C75" i="4"/>
  <c r="C72" i="4"/>
  <c r="C76" i="4"/>
  <c r="C74" i="4"/>
  <c r="C73" i="4"/>
  <c r="C77" i="4"/>
  <c r="C67" i="4"/>
  <c r="C68" i="4"/>
  <c r="C65" i="4"/>
  <c r="C69" i="4"/>
  <c r="C66" i="4"/>
  <c r="C70" i="4"/>
  <c r="C61" i="4"/>
  <c r="C58" i="4"/>
  <c r="C62" i="4"/>
  <c r="C60" i="4"/>
  <c r="C59" i="4"/>
  <c r="C63" i="4"/>
  <c r="C53" i="4"/>
  <c r="C54" i="4"/>
  <c r="C55" i="4"/>
  <c r="C51" i="4"/>
  <c r="C52" i="4"/>
  <c r="C56" i="4"/>
  <c r="C41" i="4"/>
  <c r="C38" i="4"/>
  <c r="C42" i="4"/>
  <c r="C39" i="4"/>
  <c r="C43" i="4"/>
  <c r="C40" i="4"/>
  <c r="C33" i="4"/>
  <c r="C32" i="4"/>
  <c r="C34" i="4"/>
  <c r="C31" i="4"/>
  <c r="C35" i="4"/>
  <c r="C36" i="4"/>
  <c r="C26" i="4"/>
  <c r="C28" i="4"/>
  <c r="C25" i="4"/>
  <c r="C29" i="4"/>
  <c r="C27" i="4"/>
  <c r="C24" i="4"/>
  <c r="F111" i="43"/>
  <c r="F164" i="43" s="1"/>
  <c r="I46" i="5"/>
  <c r="I47" i="5"/>
  <c r="I48" i="5"/>
  <c r="I49" i="5"/>
  <c r="Q204" i="43" s="1"/>
  <c r="I59" i="5"/>
  <c r="I60" i="5"/>
  <c r="I29" i="5"/>
  <c r="I30" i="5"/>
  <c r="I31" i="5"/>
  <c r="I32" i="5"/>
  <c r="I33" i="5"/>
  <c r="I34" i="5"/>
  <c r="I35" i="5"/>
  <c r="I36" i="5"/>
  <c r="I37" i="5"/>
  <c r="I38" i="5" s="1"/>
  <c r="I39" i="5" s="1"/>
  <c r="I40" i="5" s="1"/>
  <c r="I41" i="5" s="1"/>
  <c r="I42" i="5"/>
  <c r="I43" i="5"/>
  <c r="I28" i="5"/>
  <c r="I21" i="5"/>
  <c r="I22" i="5"/>
  <c r="I23" i="5"/>
  <c r="I24" i="5" s="1"/>
  <c r="I25" i="5"/>
  <c r="I26" i="5" s="1"/>
  <c r="I13" i="5"/>
  <c r="I14" i="5"/>
  <c r="I15" i="5"/>
  <c r="I16" i="5" s="1"/>
  <c r="I17" i="5"/>
  <c r="I18" i="5" s="1"/>
  <c r="I19" i="5" s="1"/>
  <c r="I20" i="5" s="1"/>
  <c r="I12" i="5"/>
  <c r="N70" i="43"/>
  <c r="O70" i="43"/>
  <c r="P70" i="43"/>
  <c r="R70" i="43"/>
  <c r="B135" i="43"/>
  <c r="B134" i="43"/>
  <c r="C174" i="43" s="1"/>
  <c r="C175" i="43"/>
  <c r="N29" i="43"/>
  <c r="R29" i="43"/>
  <c r="N30" i="43"/>
  <c r="R30" i="43"/>
  <c r="I126" i="43"/>
  <c r="I167" i="43" s="1"/>
  <c r="H126" i="43"/>
  <c r="H167" i="43" s="1"/>
  <c r="G126" i="43"/>
  <c r="G167" i="43" s="1"/>
  <c r="I121" i="43"/>
  <c r="H121" i="43"/>
  <c r="G121" i="43"/>
  <c r="G166" i="43" s="1"/>
  <c r="F121" i="43"/>
  <c r="F166" i="43" s="1"/>
  <c r="I116" i="43"/>
  <c r="H116" i="43"/>
  <c r="G116" i="43"/>
  <c r="G165" i="43" s="1"/>
  <c r="F116" i="43"/>
  <c r="F165" i="43" s="1"/>
  <c r="I111" i="43"/>
  <c r="H111" i="43"/>
  <c r="G111" i="43"/>
  <c r="G164" i="43" s="1"/>
  <c r="B164" i="43"/>
  <c r="B163" i="43"/>
  <c r="B162" i="43"/>
  <c r="B161" i="43"/>
  <c r="P114" i="43"/>
  <c r="B165" i="43"/>
  <c r="Q130" i="43"/>
  <c r="B133" i="43"/>
  <c r="O206" i="43"/>
  <c r="N92" i="43"/>
  <c r="O92" i="43"/>
  <c r="R92" i="43"/>
  <c r="R55" i="43"/>
  <c r="F85" i="43"/>
  <c r="J55" i="43"/>
  <c r="I55" i="43"/>
  <c r="H55" i="43"/>
  <c r="G55" i="43"/>
  <c r="F55" i="43"/>
  <c r="G59" i="43"/>
  <c r="H59" i="43"/>
  <c r="I59" i="43"/>
  <c r="J59" i="43"/>
  <c r="G62" i="43"/>
  <c r="H62" i="43"/>
  <c r="I62" i="43"/>
  <c r="J62" i="43"/>
  <c r="F62" i="43"/>
  <c r="F59" i="43"/>
  <c r="D87" i="4" l="1"/>
  <c r="D88" i="4" s="1"/>
  <c r="O205" i="43"/>
  <c r="S207" i="43"/>
  <c r="O204" i="43"/>
  <c r="Q206" i="43"/>
  <c r="S205" i="43"/>
  <c r="R205" i="43"/>
  <c r="S204" i="43"/>
  <c r="P207" i="43"/>
  <c r="I50" i="5"/>
  <c r="I51" i="5" s="1"/>
  <c r="I52" i="5" s="1"/>
  <c r="I53" i="5" s="1"/>
  <c r="I54" i="5" s="1"/>
  <c r="I55" i="5" s="1"/>
  <c r="I56" i="5" s="1"/>
  <c r="I57" i="5" s="1"/>
  <c r="I58" i="5" s="1"/>
  <c r="Q205" i="43"/>
  <c r="R204" i="43"/>
  <c r="O207" i="43"/>
  <c r="S207" i="98"/>
  <c r="P206" i="98"/>
  <c r="R204" i="98"/>
  <c r="S207" i="97"/>
  <c r="P206" i="97"/>
  <c r="S204" i="97"/>
  <c r="O207" i="96"/>
  <c r="R205" i="96"/>
  <c r="O204" i="96"/>
  <c r="P207" i="95"/>
  <c r="R205" i="95"/>
  <c r="O204" i="95"/>
  <c r="S206" i="94"/>
  <c r="P205" i="94"/>
  <c r="R207" i="98"/>
  <c r="R207" i="97"/>
  <c r="O206" i="97"/>
  <c r="R204" i="97"/>
  <c r="Q205" i="96"/>
  <c r="Q207" i="98"/>
  <c r="S205" i="98"/>
  <c r="P204" i="98"/>
  <c r="Q207" i="97"/>
  <c r="S205" i="97"/>
  <c r="Q204" i="97"/>
  <c r="S206" i="96"/>
  <c r="P205" i="96"/>
  <c r="S206" i="95"/>
  <c r="P205" i="95"/>
  <c r="Q206" i="94"/>
  <c r="S204" i="94"/>
  <c r="Q204" i="98"/>
  <c r="Q205" i="95"/>
  <c r="P207" i="98"/>
  <c r="R205" i="98"/>
  <c r="O204" i="98"/>
  <c r="P207" i="97"/>
  <c r="R205" i="97"/>
  <c r="P204" i="97"/>
  <c r="R206" i="96"/>
  <c r="O205" i="96"/>
  <c r="R206" i="95"/>
  <c r="O205" i="95"/>
  <c r="S207" i="94"/>
  <c r="P206" i="94"/>
  <c r="R204" i="94"/>
  <c r="O206" i="98"/>
  <c r="O207" i="98"/>
  <c r="Q205" i="98"/>
  <c r="O207" i="97"/>
  <c r="Q205" i="97"/>
  <c r="O204" i="97"/>
  <c r="S207" i="96"/>
  <c r="Q206" i="96"/>
  <c r="S204" i="96"/>
  <c r="Q206" i="95"/>
  <c r="S204" i="95"/>
  <c r="R207" i="94"/>
  <c r="O206" i="94"/>
  <c r="Q204" i="94"/>
  <c r="S206" i="98"/>
  <c r="P205" i="98"/>
  <c r="S206" i="97"/>
  <c r="P205" i="97"/>
  <c r="R207" i="96"/>
  <c r="P206" i="96"/>
  <c r="R204" i="96"/>
  <c r="S207" i="95"/>
  <c r="P206" i="95"/>
  <c r="R204" i="95"/>
  <c r="Q207" i="94"/>
  <c r="S205" i="94"/>
  <c r="P204" i="94"/>
  <c r="Q205" i="94"/>
  <c r="O205" i="94"/>
  <c r="R206" i="98"/>
  <c r="O205" i="98"/>
  <c r="R206" i="97"/>
  <c r="O205" i="97"/>
  <c r="Q207" i="96"/>
  <c r="O206" i="96"/>
  <c r="Q204" i="96"/>
  <c r="R207" i="95"/>
  <c r="O206" i="95"/>
  <c r="Q204" i="95"/>
  <c r="P207" i="94"/>
  <c r="R205" i="94"/>
  <c r="O204" i="94"/>
  <c r="O207" i="94"/>
  <c r="O207" i="95"/>
  <c r="R206" i="94"/>
  <c r="Q206" i="98"/>
  <c r="S204" i="98"/>
  <c r="Q206" i="97"/>
  <c r="P207" i="96"/>
  <c r="S205" i="96"/>
  <c r="P204" i="96"/>
  <c r="Q207" i="95"/>
  <c r="S205" i="95"/>
  <c r="P204" i="95"/>
  <c r="Q136" i="98"/>
  <c r="H164" i="98"/>
  <c r="J149" i="98"/>
  <c r="G135" i="98"/>
  <c r="F159" i="98"/>
  <c r="G167" i="98"/>
  <c r="F147" i="98"/>
  <c r="G158" i="98"/>
  <c r="O30" i="98"/>
  <c r="P30" i="98" s="1"/>
  <c r="P29" i="98"/>
  <c r="I167" i="98" s="1"/>
  <c r="F137" i="98"/>
  <c r="J168" i="98"/>
  <c r="I166" i="97"/>
  <c r="J154" i="97"/>
  <c r="I165" i="97"/>
  <c r="H137" i="97"/>
  <c r="J165" i="97"/>
  <c r="H162" i="97"/>
  <c r="H142" i="97"/>
  <c r="H133" i="97"/>
  <c r="O30" i="97"/>
  <c r="P30" i="97" s="1"/>
  <c r="P29" i="97"/>
  <c r="H145" i="97" s="1"/>
  <c r="J135" i="97"/>
  <c r="F150" i="97"/>
  <c r="J147" i="97"/>
  <c r="I133" i="97"/>
  <c r="J162" i="97"/>
  <c r="J146" i="97"/>
  <c r="J160" i="97"/>
  <c r="H155" i="97"/>
  <c r="J144" i="97"/>
  <c r="H139" i="97"/>
  <c r="I160" i="97"/>
  <c r="G155" i="97"/>
  <c r="I144" i="97"/>
  <c r="G139" i="97"/>
  <c r="I167" i="97"/>
  <c r="J161" i="97"/>
  <c r="H140" i="97"/>
  <c r="F163" i="97"/>
  <c r="F155" i="97"/>
  <c r="H152" i="97"/>
  <c r="H144" i="97"/>
  <c r="J141" i="97"/>
  <c r="F139" i="97"/>
  <c r="J145" i="97"/>
  <c r="G135" i="97"/>
  <c r="H159" i="97"/>
  <c r="J156" i="97"/>
  <c r="H151" i="97"/>
  <c r="J148" i="97"/>
  <c r="H143" i="97"/>
  <c r="J140" i="97"/>
  <c r="G159" i="97"/>
  <c r="I156" i="97"/>
  <c r="G151" i="97"/>
  <c r="I148" i="97"/>
  <c r="G143" i="97"/>
  <c r="I140" i="97"/>
  <c r="F159" i="97"/>
  <c r="J153" i="97"/>
  <c r="H148" i="97"/>
  <c r="F143" i="97"/>
  <c r="J137" i="97"/>
  <c r="H167" i="97"/>
  <c r="Q136" i="97"/>
  <c r="G154" i="97"/>
  <c r="G138" i="97"/>
  <c r="H168" i="97"/>
  <c r="Q136" i="96"/>
  <c r="O30" i="96"/>
  <c r="P30" i="96" s="1"/>
  <c r="G154" i="96" s="1"/>
  <c r="P29" i="96"/>
  <c r="G146" i="96" s="1"/>
  <c r="Q136" i="95"/>
  <c r="J150" i="95"/>
  <c r="F140" i="95"/>
  <c r="I146" i="95"/>
  <c r="H167" i="95"/>
  <c r="G151" i="95"/>
  <c r="I149" i="95"/>
  <c r="G168" i="95"/>
  <c r="G167" i="95"/>
  <c r="H152" i="95"/>
  <c r="J161" i="95"/>
  <c r="F158" i="95"/>
  <c r="J148" i="95"/>
  <c r="H151" i="95"/>
  <c r="H148" i="95"/>
  <c r="H156" i="95"/>
  <c r="J157" i="95"/>
  <c r="F154" i="95"/>
  <c r="J144" i="95"/>
  <c r="F138" i="95"/>
  <c r="J152" i="95"/>
  <c r="F143" i="95"/>
  <c r="H160" i="95"/>
  <c r="H144" i="95"/>
  <c r="F163" i="95"/>
  <c r="J156" i="95"/>
  <c r="F150" i="95"/>
  <c r="J140" i="95"/>
  <c r="F159" i="95"/>
  <c r="F146" i="95"/>
  <c r="I158" i="95"/>
  <c r="G163" i="95"/>
  <c r="G164" i="95"/>
  <c r="G136" i="95"/>
  <c r="G157" i="95"/>
  <c r="H150" i="95"/>
  <c r="I143" i="95"/>
  <c r="I144" i="95"/>
  <c r="J134" i="95"/>
  <c r="I161" i="95"/>
  <c r="F169" i="95"/>
  <c r="J168" i="95"/>
  <c r="I139" i="95"/>
  <c r="G150" i="95"/>
  <c r="G147" i="95"/>
  <c r="F156" i="95"/>
  <c r="I154" i="95"/>
  <c r="I138" i="95"/>
  <c r="F149" i="95"/>
  <c r="G159" i="95"/>
  <c r="I165" i="95"/>
  <c r="J155" i="95"/>
  <c r="I166" i="95"/>
  <c r="J135" i="95"/>
  <c r="O30" i="95"/>
  <c r="P30" i="95" s="1"/>
  <c r="P29" i="95"/>
  <c r="J147" i="95" s="1"/>
  <c r="G156" i="95"/>
  <c r="F144" i="95"/>
  <c r="I151" i="95"/>
  <c r="G153" i="95"/>
  <c r="J163" i="95"/>
  <c r="I156" i="95"/>
  <c r="I140" i="95"/>
  <c r="J165" i="95"/>
  <c r="I145" i="95"/>
  <c r="I157" i="95"/>
  <c r="F148" i="95"/>
  <c r="I142" i="95"/>
  <c r="I134" i="95"/>
  <c r="I168" i="95"/>
  <c r="G148" i="95"/>
  <c r="H166" i="95"/>
  <c r="J142" i="95"/>
  <c r="I147" i="95"/>
  <c r="I150" i="95"/>
  <c r="F161" i="95"/>
  <c r="J143" i="95"/>
  <c r="J167" i="95"/>
  <c r="G155" i="95"/>
  <c r="G139" i="95"/>
  <c r="H162" i="95"/>
  <c r="I133" i="95"/>
  <c r="H154" i="95"/>
  <c r="F160" i="95"/>
  <c r="Q136" i="94"/>
  <c r="P29" i="94"/>
  <c r="J152" i="94" s="1"/>
  <c r="O30" i="94"/>
  <c r="P30" i="94" s="1"/>
  <c r="P92" i="43"/>
  <c r="Q207" i="43"/>
  <c r="P205" i="43"/>
  <c r="R207" i="43"/>
  <c r="S206" i="43"/>
  <c r="P204" i="43"/>
  <c r="P206" i="43"/>
  <c r="R206" i="43"/>
  <c r="J13" i="5"/>
  <c r="J12" i="5"/>
  <c r="B136" i="43"/>
  <c r="D69" i="4"/>
  <c r="H67" i="4"/>
  <c r="G66" i="4"/>
  <c r="G70" i="4"/>
  <c r="H66" i="4"/>
  <c r="F67" i="4"/>
  <c r="H68" i="4"/>
  <c r="G68" i="4"/>
  <c r="H70" i="4"/>
  <c r="E68" i="4"/>
  <c r="E66" i="4"/>
  <c r="F69" i="4"/>
  <c r="D66" i="4"/>
  <c r="D68" i="4"/>
  <c r="D70" i="4"/>
  <c r="G67" i="4"/>
  <c r="F66" i="4"/>
  <c r="G69" i="4"/>
  <c r="D67" i="4"/>
  <c r="F70" i="4"/>
  <c r="E67" i="4"/>
  <c r="F68" i="4"/>
  <c r="E69" i="4"/>
  <c r="H69" i="4"/>
  <c r="Q167" i="98" l="1"/>
  <c r="P164" i="98"/>
  <c r="H151" i="98"/>
  <c r="I154" i="98"/>
  <c r="H168" i="98"/>
  <c r="G162" i="98"/>
  <c r="G168" i="98"/>
  <c r="J134" i="98"/>
  <c r="J157" i="98"/>
  <c r="I140" i="98"/>
  <c r="F155" i="98"/>
  <c r="J145" i="98"/>
  <c r="I156" i="98"/>
  <c r="F158" i="98"/>
  <c r="H146" i="98"/>
  <c r="F150" i="98"/>
  <c r="H139" i="98"/>
  <c r="H155" i="98"/>
  <c r="I155" i="98"/>
  <c r="F141" i="98"/>
  <c r="H133" i="98"/>
  <c r="G161" i="98"/>
  <c r="H149" i="98"/>
  <c r="J133" i="98"/>
  <c r="G148" i="98"/>
  <c r="G164" i="98"/>
  <c r="G149" i="98"/>
  <c r="I157" i="98"/>
  <c r="I145" i="98"/>
  <c r="I158" i="98"/>
  <c r="H162" i="98"/>
  <c r="I169" i="98"/>
  <c r="H138" i="98"/>
  <c r="J142" i="98"/>
  <c r="G146" i="98"/>
  <c r="J159" i="98"/>
  <c r="J140" i="98"/>
  <c r="J156" i="98"/>
  <c r="I159" i="98"/>
  <c r="J143" i="98"/>
  <c r="F136" i="98"/>
  <c r="I133" i="98"/>
  <c r="H153" i="98"/>
  <c r="F135" i="98"/>
  <c r="I149" i="98"/>
  <c r="I166" i="98"/>
  <c r="F161" i="98"/>
  <c r="F144" i="98"/>
  <c r="F134" i="98"/>
  <c r="I150" i="98"/>
  <c r="J163" i="98"/>
  <c r="H161" i="98"/>
  <c r="G157" i="98"/>
  <c r="I161" i="98"/>
  <c r="F146" i="98"/>
  <c r="J147" i="98"/>
  <c r="H143" i="98"/>
  <c r="H159" i="98"/>
  <c r="F133" i="98"/>
  <c r="I163" i="98"/>
  <c r="F149" i="98"/>
  <c r="G137" i="98"/>
  <c r="G136" i="98"/>
  <c r="F156" i="98"/>
  <c r="H136" i="98"/>
  <c r="G152" i="98"/>
  <c r="H134" i="98"/>
  <c r="G142" i="98"/>
  <c r="J148" i="98"/>
  <c r="I143" i="98"/>
  <c r="H141" i="98"/>
  <c r="I141" i="98"/>
  <c r="J138" i="98"/>
  <c r="G166" i="98"/>
  <c r="F148" i="98"/>
  <c r="J150" i="98"/>
  <c r="J144" i="98"/>
  <c r="J160" i="98"/>
  <c r="J135" i="98"/>
  <c r="J167" i="98"/>
  <c r="J151" i="98"/>
  <c r="G141" i="98"/>
  <c r="H137" i="98"/>
  <c r="H157" i="98"/>
  <c r="I137" i="98"/>
  <c r="I153" i="98"/>
  <c r="F145" i="98"/>
  <c r="J146" i="98"/>
  <c r="J164" i="98"/>
  <c r="G150" i="98"/>
  <c r="H142" i="98"/>
  <c r="G169" i="98"/>
  <c r="H147" i="98"/>
  <c r="H163" i="98"/>
  <c r="I139" i="98"/>
  <c r="F157" i="98"/>
  <c r="G145" i="98"/>
  <c r="F140" i="98"/>
  <c r="F160" i="98"/>
  <c r="G140" i="98"/>
  <c r="G156" i="98"/>
  <c r="F168" i="98"/>
  <c r="J165" i="98"/>
  <c r="F167" i="98"/>
  <c r="J152" i="98"/>
  <c r="G133" i="98"/>
  <c r="H166" i="98"/>
  <c r="I147" i="98"/>
  <c r="F166" i="98"/>
  <c r="G153" i="98"/>
  <c r="H145" i="98"/>
  <c r="F164" i="98"/>
  <c r="G144" i="98"/>
  <c r="G160" i="98"/>
  <c r="J154" i="98"/>
  <c r="J158" i="98"/>
  <c r="H165" i="98"/>
  <c r="J162" i="98"/>
  <c r="I135" i="98"/>
  <c r="I151" i="98"/>
  <c r="H144" i="98"/>
  <c r="I152" i="98"/>
  <c r="I162" i="98"/>
  <c r="H158" i="98"/>
  <c r="H169" i="98"/>
  <c r="F138" i="98"/>
  <c r="J136" i="98"/>
  <c r="H167" i="98"/>
  <c r="I148" i="98"/>
  <c r="H156" i="98"/>
  <c r="J166" i="98"/>
  <c r="I165" i="98"/>
  <c r="J169" i="98"/>
  <c r="G138" i="98"/>
  <c r="I142" i="98"/>
  <c r="H140" i="98"/>
  <c r="J137" i="98"/>
  <c r="H152" i="98"/>
  <c r="G163" i="98"/>
  <c r="G139" i="98"/>
  <c r="G134" i="98"/>
  <c r="O167" i="98"/>
  <c r="H154" i="98"/>
  <c r="F162" i="98"/>
  <c r="J155" i="98"/>
  <c r="I138" i="98"/>
  <c r="F153" i="98"/>
  <c r="G147" i="98"/>
  <c r="I144" i="98"/>
  <c r="G159" i="98"/>
  <c r="F165" i="98"/>
  <c r="F143" i="98"/>
  <c r="F142" i="98"/>
  <c r="F152" i="98"/>
  <c r="I164" i="98"/>
  <c r="J141" i="98"/>
  <c r="I134" i="98"/>
  <c r="J139" i="98"/>
  <c r="I168" i="98"/>
  <c r="I136" i="98"/>
  <c r="F151" i="98"/>
  <c r="H148" i="98"/>
  <c r="F163" i="98"/>
  <c r="H135" i="98"/>
  <c r="J153" i="98"/>
  <c r="I146" i="98"/>
  <c r="G165" i="98"/>
  <c r="G154" i="98"/>
  <c r="H160" i="98"/>
  <c r="F169" i="98"/>
  <c r="G143" i="98"/>
  <c r="J161" i="98"/>
  <c r="G155" i="98"/>
  <c r="G151" i="98"/>
  <c r="F139" i="98"/>
  <c r="I160" i="98"/>
  <c r="H150" i="98"/>
  <c r="F154" i="98"/>
  <c r="Q167" i="97"/>
  <c r="R165" i="97"/>
  <c r="Q165" i="97"/>
  <c r="Q166" i="97"/>
  <c r="I136" i="97"/>
  <c r="J157" i="97"/>
  <c r="F134" i="97"/>
  <c r="G163" i="97"/>
  <c r="H163" i="97"/>
  <c r="I142" i="97"/>
  <c r="F158" i="97"/>
  <c r="F138" i="97"/>
  <c r="H160" i="97"/>
  <c r="J136" i="97"/>
  <c r="G169" i="97"/>
  <c r="G167" i="97"/>
  <c r="J158" i="97"/>
  <c r="J151" i="97"/>
  <c r="H161" i="97"/>
  <c r="I139" i="97"/>
  <c r="F142" i="97"/>
  <c r="J167" i="97"/>
  <c r="F149" i="97"/>
  <c r="F166" i="97"/>
  <c r="G157" i="97"/>
  <c r="H149" i="97"/>
  <c r="F135" i="97"/>
  <c r="G156" i="97"/>
  <c r="I150" i="97"/>
  <c r="I169" i="97"/>
  <c r="G149" i="97"/>
  <c r="I149" i="97"/>
  <c r="G161" i="97"/>
  <c r="F152" i="97"/>
  <c r="I137" i="97"/>
  <c r="I157" i="97"/>
  <c r="J143" i="97"/>
  <c r="H154" i="97"/>
  <c r="I163" i="97"/>
  <c r="F148" i="97"/>
  <c r="F153" i="97"/>
  <c r="F136" i="97"/>
  <c r="G166" i="97"/>
  <c r="F156" i="97"/>
  <c r="G140" i="97"/>
  <c r="F167" i="97"/>
  <c r="G142" i="97"/>
  <c r="I158" i="97"/>
  <c r="G164" i="97"/>
  <c r="H169" i="97"/>
  <c r="I143" i="97"/>
  <c r="J155" i="97"/>
  <c r="G137" i="97"/>
  <c r="G136" i="97"/>
  <c r="H157" i="97"/>
  <c r="I141" i="97"/>
  <c r="J168" i="97"/>
  <c r="G165" i="97"/>
  <c r="F161" i="97"/>
  <c r="H166" i="97"/>
  <c r="J142" i="97"/>
  <c r="F145" i="97"/>
  <c r="F133" i="97"/>
  <c r="G152" i="97"/>
  <c r="J150" i="97"/>
  <c r="H158" i="97"/>
  <c r="I147" i="97"/>
  <c r="F137" i="97"/>
  <c r="F157" i="97"/>
  <c r="G141" i="97"/>
  <c r="F140" i="97"/>
  <c r="F160" i="97"/>
  <c r="I145" i="97"/>
  <c r="I138" i="97"/>
  <c r="H153" i="97"/>
  <c r="H138" i="97"/>
  <c r="J134" i="97"/>
  <c r="H150" i="97"/>
  <c r="J163" i="97"/>
  <c r="I153" i="97"/>
  <c r="H136" i="97"/>
  <c r="I155" i="97"/>
  <c r="G158" i="97"/>
  <c r="J169" i="97"/>
  <c r="I151" i="97"/>
  <c r="F141" i="97"/>
  <c r="J159" i="97"/>
  <c r="G145" i="97"/>
  <c r="H141" i="97"/>
  <c r="F164" i="97"/>
  <c r="G148" i="97"/>
  <c r="I154" i="97"/>
  <c r="F146" i="97"/>
  <c r="J139" i="97"/>
  <c r="G144" i="97"/>
  <c r="I159" i="97"/>
  <c r="F144" i="97"/>
  <c r="I168" i="97"/>
  <c r="F154" i="97"/>
  <c r="J133" i="97"/>
  <c r="G134" i="97"/>
  <c r="G153" i="97"/>
  <c r="I146" i="97"/>
  <c r="H165" i="97"/>
  <c r="P167" i="97"/>
  <c r="I162" i="97"/>
  <c r="F169" i="97"/>
  <c r="F162" i="97"/>
  <c r="H164" i="97"/>
  <c r="I164" i="97"/>
  <c r="J164" i="97"/>
  <c r="F147" i="97"/>
  <c r="F151" i="97"/>
  <c r="G147" i="97"/>
  <c r="H147" i="97"/>
  <c r="I161" i="97"/>
  <c r="G160" i="97"/>
  <c r="F168" i="97"/>
  <c r="G146" i="97"/>
  <c r="I134" i="97"/>
  <c r="G150" i="97"/>
  <c r="H135" i="97"/>
  <c r="I135" i="97"/>
  <c r="J166" i="97"/>
  <c r="J149" i="97"/>
  <c r="H156" i="97"/>
  <c r="I152" i="97"/>
  <c r="J152" i="97"/>
  <c r="H134" i="97"/>
  <c r="F165" i="97"/>
  <c r="H146" i="97"/>
  <c r="G133" i="97"/>
  <c r="G162" i="97"/>
  <c r="J138" i="97"/>
  <c r="G168" i="97"/>
  <c r="F163" i="96"/>
  <c r="I136" i="96"/>
  <c r="I167" i="96"/>
  <c r="G134" i="96"/>
  <c r="F155" i="96"/>
  <c r="G150" i="96"/>
  <c r="I163" i="96"/>
  <c r="G137" i="96"/>
  <c r="G161" i="96"/>
  <c r="F151" i="96"/>
  <c r="G166" i="96"/>
  <c r="H143" i="96"/>
  <c r="J164" i="96"/>
  <c r="G141" i="96"/>
  <c r="G162" i="96"/>
  <c r="J133" i="96"/>
  <c r="H157" i="96"/>
  <c r="G136" i="96"/>
  <c r="J157" i="96"/>
  <c r="J136" i="96"/>
  <c r="I152" i="96"/>
  <c r="H154" i="96"/>
  <c r="I150" i="96"/>
  <c r="F148" i="96"/>
  <c r="G156" i="96"/>
  <c r="G145" i="96"/>
  <c r="G133" i="96"/>
  <c r="J143" i="96"/>
  <c r="H155" i="96"/>
  <c r="F153" i="96"/>
  <c r="I135" i="96"/>
  <c r="H167" i="96"/>
  <c r="J144" i="96"/>
  <c r="H165" i="96"/>
  <c r="H134" i="96"/>
  <c r="F156" i="96"/>
  <c r="F137" i="96"/>
  <c r="F161" i="96"/>
  <c r="J154" i="96"/>
  <c r="F146" i="96"/>
  <c r="J166" i="96"/>
  <c r="F141" i="96"/>
  <c r="G157" i="96"/>
  <c r="J139" i="96"/>
  <c r="F160" i="96"/>
  <c r="G139" i="96"/>
  <c r="G155" i="96"/>
  <c r="H158" i="96"/>
  <c r="I154" i="96"/>
  <c r="F164" i="96"/>
  <c r="G160" i="96"/>
  <c r="H140" i="96"/>
  <c r="J147" i="96"/>
  <c r="F136" i="96"/>
  <c r="J134" i="96"/>
  <c r="H164" i="96"/>
  <c r="H147" i="96"/>
  <c r="G167" i="96"/>
  <c r="I145" i="96"/>
  <c r="J159" i="96"/>
  <c r="I153" i="96"/>
  <c r="G135" i="96"/>
  <c r="H156" i="96"/>
  <c r="F166" i="96"/>
  <c r="J148" i="96"/>
  <c r="F168" i="96"/>
  <c r="I149" i="96"/>
  <c r="I133" i="96"/>
  <c r="F157" i="96"/>
  <c r="J141" i="96"/>
  <c r="J165" i="96"/>
  <c r="I140" i="96"/>
  <c r="I156" i="96"/>
  <c r="H138" i="96"/>
  <c r="H162" i="96"/>
  <c r="I158" i="96"/>
  <c r="F135" i="96"/>
  <c r="G164" i="96"/>
  <c r="J161" i="96"/>
  <c r="J152" i="96"/>
  <c r="J145" i="96"/>
  <c r="F143" i="96"/>
  <c r="G149" i="96"/>
  <c r="J149" i="96"/>
  <c r="G163" i="96"/>
  <c r="G144" i="96"/>
  <c r="F150" i="96"/>
  <c r="I169" i="96"/>
  <c r="H145" i="96"/>
  <c r="J167" i="96"/>
  <c r="H153" i="96"/>
  <c r="J138" i="96"/>
  <c r="F159" i="96"/>
  <c r="H151" i="96"/>
  <c r="H133" i="96"/>
  <c r="F144" i="96"/>
  <c r="I165" i="96"/>
  <c r="G143" i="96"/>
  <c r="G159" i="96"/>
  <c r="H142" i="96"/>
  <c r="J163" i="96"/>
  <c r="I162" i="96"/>
  <c r="H136" i="96"/>
  <c r="J162" i="96"/>
  <c r="H149" i="96"/>
  <c r="I144" i="96"/>
  <c r="F145" i="96"/>
  <c r="I141" i="96"/>
  <c r="F165" i="96"/>
  <c r="H146" i="96"/>
  <c r="J153" i="96"/>
  <c r="J142" i="96"/>
  <c r="G169" i="96"/>
  <c r="F158" i="96"/>
  <c r="I134" i="96"/>
  <c r="I137" i="96"/>
  <c r="I161" i="96"/>
  <c r="J146" i="96"/>
  <c r="I166" i="96"/>
  <c r="F138" i="96"/>
  <c r="H159" i="96"/>
  <c r="F149" i="96"/>
  <c r="I157" i="96"/>
  <c r="H168" i="96"/>
  <c r="F152" i="96"/>
  <c r="F169" i="96"/>
  <c r="I148" i="96"/>
  <c r="I164" i="96"/>
  <c r="H150" i="96"/>
  <c r="I142" i="96"/>
  <c r="G148" i="96"/>
  <c r="G140" i="96"/>
  <c r="I138" i="96"/>
  <c r="J137" i="96"/>
  <c r="J150" i="96"/>
  <c r="H139" i="96"/>
  <c r="J160" i="96"/>
  <c r="F134" i="96"/>
  <c r="H137" i="96"/>
  <c r="H161" i="96"/>
  <c r="F167" i="96"/>
  <c r="H148" i="96"/>
  <c r="H166" i="96"/>
  <c r="J140" i="96"/>
  <c r="F162" i="96"/>
  <c r="H141" i="96"/>
  <c r="I159" i="96"/>
  <c r="F133" i="96"/>
  <c r="J155" i="96"/>
  <c r="H135" i="96"/>
  <c r="G151" i="96"/>
  <c r="J151" i="96"/>
  <c r="I146" i="96"/>
  <c r="F140" i="96"/>
  <c r="G152" i="96"/>
  <c r="J169" i="96"/>
  <c r="G153" i="96"/>
  <c r="F154" i="96"/>
  <c r="J168" i="96"/>
  <c r="I160" i="96"/>
  <c r="J156" i="96"/>
  <c r="I168" i="96"/>
  <c r="G147" i="96"/>
  <c r="H160" i="96"/>
  <c r="G158" i="96"/>
  <c r="I151" i="96"/>
  <c r="J158" i="96"/>
  <c r="F142" i="96"/>
  <c r="F139" i="96"/>
  <c r="H169" i="96"/>
  <c r="I139" i="96"/>
  <c r="H163" i="96"/>
  <c r="H144" i="96"/>
  <c r="I155" i="96"/>
  <c r="J135" i="96"/>
  <c r="F147" i="96"/>
  <c r="G142" i="96"/>
  <c r="G138" i="96"/>
  <c r="G165" i="96"/>
  <c r="H152" i="96"/>
  <c r="I147" i="96"/>
  <c r="I143" i="96"/>
  <c r="G168" i="96"/>
  <c r="Q166" i="95"/>
  <c r="Q165" i="95"/>
  <c r="F136" i="95"/>
  <c r="I169" i="95"/>
  <c r="H134" i="95"/>
  <c r="G137" i="95"/>
  <c r="H133" i="95"/>
  <c r="G143" i="95"/>
  <c r="F166" i="95"/>
  <c r="H137" i="95"/>
  <c r="I160" i="95"/>
  <c r="G141" i="95"/>
  <c r="J158" i="95"/>
  <c r="J153" i="95"/>
  <c r="H163" i="95"/>
  <c r="F151" i="95"/>
  <c r="I135" i="95"/>
  <c r="F155" i="95"/>
  <c r="H155" i="95"/>
  <c r="H135" i="95"/>
  <c r="I162" i="95"/>
  <c r="H168" i="95"/>
  <c r="J139" i="95"/>
  <c r="F134" i="95"/>
  <c r="I164" i="95"/>
  <c r="J138" i="95"/>
  <c r="F135" i="95"/>
  <c r="I163" i="95"/>
  <c r="G149" i="95"/>
  <c r="F137" i="95"/>
  <c r="F165" i="95"/>
  <c r="I159" i="95"/>
  <c r="G138" i="95"/>
  <c r="G161" i="95"/>
  <c r="H161" i="95"/>
  <c r="H142" i="95"/>
  <c r="G166" i="95"/>
  <c r="F152" i="95"/>
  <c r="G140" i="95"/>
  <c r="H146" i="95"/>
  <c r="I148" i="95"/>
  <c r="F153" i="95"/>
  <c r="G145" i="95"/>
  <c r="H149" i="95"/>
  <c r="H158" i="95"/>
  <c r="G154" i="95"/>
  <c r="H141" i="95"/>
  <c r="F164" i="95"/>
  <c r="J159" i="95"/>
  <c r="J136" i="95"/>
  <c r="I152" i="95"/>
  <c r="I155" i="95"/>
  <c r="G160" i="95"/>
  <c r="J169" i="95"/>
  <c r="J146" i="95"/>
  <c r="G146" i="95"/>
  <c r="G165" i="95"/>
  <c r="F162" i="95"/>
  <c r="H159" i="95"/>
  <c r="J160" i="95"/>
  <c r="H164" i="95"/>
  <c r="J164" i="95"/>
  <c r="G169" i="95"/>
  <c r="G162" i="95"/>
  <c r="J162" i="95"/>
  <c r="O164" i="95"/>
  <c r="P167" i="95"/>
  <c r="I153" i="95"/>
  <c r="H153" i="95"/>
  <c r="G134" i="95"/>
  <c r="J154" i="95"/>
  <c r="H145" i="95"/>
  <c r="G152" i="95"/>
  <c r="I141" i="95"/>
  <c r="H157" i="95"/>
  <c r="F167" i="95"/>
  <c r="J137" i="95"/>
  <c r="H143" i="95"/>
  <c r="G135" i="95"/>
  <c r="J166" i="95"/>
  <c r="F139" i="95"/>
  <c r="H140" i="95"/>
  <c r="J133" i="95"/>
  <c r="F141" i="95"/>
  <c r="H136" i="95"/>
  <c r="O167" i="95"/>
  <c r="R167" i="95"/>
  <c r="J149" i="95"/>
  <c r="F142" i="95"/>
  <c r="I136" i="95"/>
  <c r="H169" i="95"/>
  <c r="F157" i="95"/>
  <c r="G144" i="95"/>
  <c r="R165" i="95"/>
  <c r="P166" i="95"/>
  <c r="F133" i="95"/>
  <c r="F145" i="95"/>
  <c r="H138" i="95"/>
  <c r="G158" i="95"/>
  <c r="G133" i="95"/>
  <c r="H165" i="95"/>
  <c r="J151" i="95"/>
  <c r="F147" i="95"/>
  <c r="H147" i="95"/>
  <c r="J141" i="95"/>
  <c r="I167" i="95"/>
  <c r="J145" i="95"/>
  <c r="H139" i="95"/>
  <c r="I137" i="95"/>
  <c r="G142" i="95"/>
  <c r="F168" i="95"/>
  <c r="I159" i="94"/>
  <c r="F133" i="94"/>
  <c r="H163" i="94"/>
  <c r="G138" i="94"/>
  <c r="I163" i="94"/>
  <c r="F160" i="94"/>
  <c r="G152" i="94"/>
  <c r="J154" i="94"/>
  <c r="I154" i="94"/>
  <c r="J136" i="94"/>
  <c r="G146" i="94"/>
  <c r="J157" i="94"/>
  <c r="J133" i="94"/>
  <c r="H143" i="94"/>
  <c r="I137" i="94"/>
  <c r="H151" i="94"/>
  <c r="G141" i="94"/>
  <c r="H155" i="94"/>
  <c r="J169" i="94"/>
  <c r="I155" i="94"/>
  <c r="G135" i="94"/>
  <c r="H152" i="94"/>
  <c r="I144" i="94"/>
  <c r="I160" i="94"/>
  <c r="F140" i="94"/>
  <c r="I166" i="94"/>
  <c r="G148" i="94"/>
  <c r="J150" i="94"/>
  <c r="I150" i="94"/>
  <c r="F134" i="94"/>
  <c r="F150" i="94"/>
  <c r="J160" i="94"/>
  <c r="I149" i="94"/>
  <c r="J147" i="94"/>
  <c r="J161" i="94"/>
  <c r="H137" i="94"/>
  <c r="J155" i="94"/>
  <c r="F141" i="94"/>
  <c r="J159" i="94"/>
  <c r="I145" i="94"/>
  <c r="H159" i="94"/>
  <c r="F139" i="94"/>
  <c r="F155" i="94"/>
  <c r="G147" i="94"/>
  <c r="G163" i="94"/>
  <c r="H142" i="94"/>
  <c r="F148" i="94"/>
  <c r="I153" i="94"/>
  <c r="H166" i="94"/>
  <c r="G144" i="94"/>
  <c r="J146" i="94"/>
  <c r="I146" i="94"/>
  <c r="J135" i="94"/>
  <c r="H154" i="94"/>
  <c r="I133" i="94"/>
  <c r="G150" i="94"/>
  <c r="J164" i="94"/>
  <c r="G137" i="94"/>
  <c r="G158" i="94"/>
  <c r="J141" i="94"/>
  <c r="G162" i="94"/>
  <c r="G169" i="94"/>
  <c r="H145" i="94"/>
  <c r="H165" i="94"/>
  <c r="H140" i="94"/>
  <c r="H156" i="94"/>
  <c r="I148" i="94"/>
  <c r="I164" i="94"/>
  <c r="J143" i="94"/>
  <c r="F156" i="94"/>
  <c r="I135" i="94"/>
  <c r="H153" i="94"/>
  <c r="G166" i="94"/>
  <c r="G140" i="94"/>
  <c r="J142" i="94"/>
  <c r="I142" i="94"/>
  <c r="H139" i="94"/>
  <c r="I157" i="94"/>
  <c r="H149" i="94"/>
  <c r="H133" i="94"/>
  <c r="F154" i="94"/>
  <c r="F137" i="94"/>
  <c r="F162" i="94"/>
  <c r="G134" i="94"/>
  <c r="J144" i="94"/>
  <c r="G165" i="94"/>
  <c r="F169" i="94"/>
  <c r="G145" i="94"/>
  <c r="F168" i="94"/>
  <c r="F143" i="94"/>
  <c r="F159" i="94"/>
  <c r="G151" i="94"/>
  <c r="F165" i="94"/>
  <c r="H150" i="94"/>
  <c r="F164" i="94"/>
  <c r="J139" i="94"/>
  <c r="G153" i="94"/>
  <c r="F167" i="94"/>
  <c r="H136" i="94"/>
  <c r="J138" i="94"/>
  <c r="I138" i="94"/>
  <c r="G149" i="94"/>
  <c r="G133" i="94"/>
  <c r="I161" i="94"/>
  <c r="G154" i="94"/>
  <c r="J137" i="94"/>
  <c r="J165" i="94"/>
  <c r="H138" i="94"/>
  <c r="J167" i="94"/>
  <c r="H134" i="94"/>
  <c r="F145" i="94"/>
  <c r="H144" i="94"/>
  <c r="H160" i="94"/>
  <c r="H135" i="94"/>
  <c r="I152" i="94"/>
  <c r="H167" i="94"/>
  <c r="J151" i="94"/>
  <c r="G142" i="94"/>
  <c r="F153" i="94"/>
  <c r="F166" i="94"/>
  <c r="G164" i="94"/>
  <c r="F135" i="94"/>
  <c r="G136" i="94"/>
  <c r="F136" i="94"/>
  <c r="H157" i="94"/>
  <c r="F149" i="94"/>
  <c r="H161" i="94"/>
  <c r="F158" i="94"/>
  <c r="J140" i="94"/>
  <c r="I167" i="94"/>
  <c r="I141" i="94"/>
  <c r="J168" i="94"/>
  <c r="F138" i="94"/>
  <c r="J145" i="94"/>
  <c r="F147" i="94"/>
  <c r="F163" i="94"/>
  <c r="G139" i="94"/>
  <c r="G155" i="94"/>
  <c r="H158" i="94"/>
  <c r="I169" i="94"/>
  <c r="H146" i="94"/>
  <c r="F146" i="94"/>
  <c r="J153" i="94"/>
  <c r="J166" i="94"/>
  <c r="G160" i="94"/>
  <c r="J162" i="94"/>
  <c r="I162" i="94"/>
  <c r="J134" i="94"/>
  <c r="G157" i="94"/>
  <c r="J149" i="94"/>
  <c r="I136" i="94"/>
  <c r="G161" i="94"/>
  <c r="I143" i="94"/>
  <c r="H162" i="94"/>
  <c r="F144" i="94"/>
  <c r="I168" i="94"/>
  <c r="J148" i="94"/>
  <c r="H148" i="94"/>
  <c r="H164" i="94"/>
  <c r="I140" i="94"/>
  <c r="I156" i="94"/>
  <c r="J163" i="94"/>
  <c r="J156" i="94"/>
  <c r="H169" i="94"/>
  <c r="G156" i="94"/>
  <c r="J158" i="94"/>
  <c r="I158" i="94"/>
  <c r="I134" i="94"/>
  <c r="F157" i="94"/>
  <c r="G168" i="94"/>
  <c r="I139" i="94"/>
  <c r="F161" i="94"/>
  <c r="H147" i="94"/>
  <c r="I147" i="94"/>
  <c r="H141" i="94"/>
  <c r="I151" i="94"/>
  <c r="H168" i="94"/>
  <c r="F152" i="94"/>
  <c r="F151" i="94"/>
  <c r="G167" i="94"/>
  <c r="G143" i="94"/>
  <c r="G159" i="94"/>
  <c r="I165" i="94"/>
  <c r="F142" i="94"/>
  <c r="N116" i="43"/>
  <c r="N117" i="43"/>
  <c r="N118" i="43"/>
  <c r="P121" i="43" s="1"/>
  <c r="N119" i="43"/>
  <c r="N120" i="43"/>
  <c r="N121" i="43"/>
  <c r="N122" i="43"/>
  <c r="N123" i="43"/>
  <c r="P126" i="43" s="1"/>
  <c r="N124" i="43"/>
  <c r="N125" i="43"/>
  <c r="N126" i="43"/>
  <c r="N127" i="43"/>
  <c r="N128" i="43"/>
  <c r="N115" i="43"/>
  <c r="N66" i="43"/>
  <c r="N63" i="43"/>
  <c r="N64" i="43" s="1"/>
  <c r="N65" i="43" s="1"/>
  <c r="N56" i="43"/>
  <c r="N57" i="43" s="1"/>
  <c r="N58" i="43" s="1"/>
  <c r="N59" i="43" s="1"/>
  <c r="N60" i="43"/>
  <c r="N61" i="43" s="1"/>
  <c r="N62" i="43" s="1"/>
  <c r="N43" i="43"/>
  <c r="N44" i="43" s="1"/>
  <c r="N45" i="43" s="1"/>
  <c r="N46" i="43"/>
  <c r="N47" i="43" s="1"/>
  <c r="N48" i="43" s="1"/>
  <c r="N49" i="43"/>
  <c r="N50" i="43" s="1"/>
  <c r="N51" i="43" s="1"/>
  <c r="N52" i="43"/>
  <c r="N53" i="43" s="1"/>
  <c r="N54" i="43" s="1"/>
  <c r="N55" i="43" s="1"/>
  <c r="N37" i="43"/>
  <c r="N38" i="43" s="1"/>
  <c r="N39" i="43" s="1"/>
  <c r="N40" i="43"/>
  <c r="N41" i="43" s="1"/>
  <c r="N42" i="43" s="1"/>
  <c r="N35" i="43"/>
  <c r="N36" i="43" s="1"/>
  <c r="N32" i="43"/>
  <c r="N33" i="43" s="1"/>
  <c r="N26" i="43"/>
  <c r="N27" i="43" s="1"/>
  <c r="N28" i="43" s="1"/>
  <c r="E81" i="4"/>
  <c r="D54" i="4"/>
  <c r="G83" i="4"/>
  <c r="E59" i="4"/>
  <c r="F80" i="4"/>
  <c r="F59" i="4"/>
  <c r="H54" i="4"/>
  <c r="E73" i="4"/>
  <c r="F63" i="4"/>
  <c r="E61" i="4"/>
  <c r="H74" i="4"/>
  <c r="E60" i="4"/>
  <c r="G80" i="4"/>
  <c r="G62" i="4"/>
  <c r="E62" i="4"/>
  <c r="H83" i="4"/>
  <c r="D53" i="4"/>
  <c r="H61" i="4"/>
  <c r="D52" i="4"/>
  <c r="D74" i="4"/>
  <c r="H55" i="4"/>
  <c r="G55" i="4"/>
  <c r="H63" i="4"/>
  <c r="F83" i="4"/>
  <c r="G52" i="4"/>
  <c r="G76" i="4"/>
  <c r="G84" i="4"/>
  <c r="D82" i="4"/>
  <c r="F55" i="4"/>
  <c r="H84" i="4"/>
  <c r="E76" i="4"/>
  <c r="G73" i="4"/>
  <c r="E75" i="4"/>
  <c r="F81" i="4"/>
  <c r="D55" i="4"/>
  <c r="F77" i="4"/>
  <c r="E56" i="4"/>
  <c r="E53" i="4"/>
  <c r="H60" i="4"/>
  <c r="E83" i="4"/>
  <c r="D59" i="4"/>
  <c r="E70" i="4"/>
  <c r="E63" i="4"/>
  <c r="H81" i="4"/>
  <c r="D56" i="4"/>
  <c r="F82" i="4"/>
  <c r="G60" i="4"/>
  <c r="D81" i="4"/>
  <c r="G75" i="4"/>
  <c r="E55" i="4"/>
  <c r="D80" i="4"/>
  <c r="G74" i="4"/>
  <c r="H62" i="4"/>
  <c r="G63" i="4"/>
  <c r="E84" i="4"/>
  <c r="H52" i="4"/>
  <c r="H53" i="4"/>
  <c r="D77" i="4"/>
  <c r="F56" i="4"/>
  <c r="F61" i="4"/>
  <c r="F53" i="4"/>
  <c r="F75" i="4"/>
  <c r="G81" i="4"/>
  <c r="H59" i="4"/>
  <c r="D61" i="4"/>
  <c r="E52" i="4"/>
  <c r="G61" i="4"/>
  <c r="H77" i="4"/>
  <c r="G59" i="4"/>
  <c r="F84" i="4"/>
  <c r="D73" i="4"/>
  <c r="H73" i="4"/>
  <c r="F52" i="4"/>
  <c r="H82" i="4"/>
  <c r="F76" i="4"/>
  <c r="E80" i="4"/>
  <c r="G77" i="4"/>
  <c r="E74" i="4"/>
  <c r="F54" i="4"/>
  <c r="F74" i="4"/>
  <c r="H76" i="4"/>
  <c r="F73" i="4"/>
  <c r="E54" i="4"/>
  <c r="D84" i="4"/>
  <c r="D75" i="4"/>
  <c r="F62" i="4"/>
  <c r="D60" i="4"/>
  <c r="E82" i="4"/>
  <c r="E77" i="4"/>
  <c r="G82" i="4"/>
  <c r="D63" i="4"/>
  <c r="F60" i="4"/>
  <c r="D62" i="4"/>
  <c r="H56" i="4"/>
  <c r="D83" i="4"/>
  <c r="H75" i="4"/>
  <c r="H80" i="4"/>
  <c r="G56" i="4"/>
  <c r="D76" i="4"/>
  <c r="G54" i="4"/>
  <c r="G53" i="4"/>
  <c r="Q166" i="98" l="1"/>
  <c r="P165" i="98"/>
  <c r="N166" i="98"/>
  <c r="R166" i="98"/>
  <c r="P166" i="98"/>
  <c r="O166" i="98"/>
  <c r="O164" i="98"/>
  <c r="Q164" i="98"/>
  <c r="R164" i="98"/>
  <c r="O165" i="98"/>
  <c r="N165" i="98"/>
  <c r="P167" i="98"/>
  <c r="N164" i="98"/>
  <c r="N167" i="98"/>
  <c r="R167" i="98"/>
  <c r="Q165" i="98"/>
  <c r="R165" i="98"/>
  <c r="R166" i="97"/>
  <c r="N164" i="97"/>
  <c r="O165" i="97"/>
  <c r="P166" i="97"/>
  <c r="P164" i="97"/>
  <c r="O166" i="97"/>
  <c r="O164" i="97"/>
  <c r="Q164" i="97"/>
  <c r="N165" i="97"/>
  <c r="P165" i="97"/>
  <c r="N166" i="97"/>
  <c r="O167" i="97"/>
  <c r="N167" i="97"/>
  <c r="R167" i="97"/>
  <c r="R164" i="97"/>
  <c r="O165" i="96"/>
  <c r="Q164" i="96"/>
  <c r="N166" i="96"/>
  <c r="P164" i="96"/>
  <c r="P167" i="96"/>
  <c r="N165" i="96"/>
  <c r="P166" i="96"/>
  <c r="Q166" i="96"/>
  <c r="R165" i="96"/>
  <c r="R164" i="96"/>
  <c r="O166" i="96"/>
  <c r="Q167" i="96"/>
  <c r="N167" i="96"/>
  <c r="R167" i="96"/>
  <c r="O167" i="96"/>
  <c r="N164" i="96"/>
  <c r="P165" i="96"/>
  <c r="O164" i="96"/>
  <c r="Q165" i="96"/>
  <c r="R166" i="96"/>
  <c r="Q164" i="95"/>
  <c r="N166" i="95"/>
  <c r="Q167" i="95"/>
  <c r="N164" i="95"/>
  <c r="N167" i="95"/>
  <c r="R164" i="95"/>
  <c r="P164" i="95"/>
  <c r="O166" i="95"/>
  <c r="O165" i="95"/>
  <c r="P165" i="95"/>
  <c r="N165" i="95"/>
  <c r="R166" i="95"/>
  <c r="R166" i="94"/>
  <c r="N166" i="94"/>
  <c r="P165" i="94"/>
  <c r="Q165" i="94"/>
  <c r="P164" i="94"/>
  <c r="N164" i="94"/>
  <c r="O165" i="94"/>
  <c r="R167" i="94"/>
  <c r="N165" i="94"/>
  <c r="O167" i="94"/>
  <c r="P167" i="94"/>
  <c r="Q164" i="94"/>
  <c r="R165" i="94"/>
  <c r="Q167" i="94"/>
  <c r="N167" i="94"/>
  <c r="Q166" i="94"/>
  <c r="O164" i="94"/>
  <c r="O166" i="94"/>
  <c r="R164" i="94"/>
  <c r="P166" i="94"/>
  <c r="C182" i="43"/>
  <c r="C181" i="43"/>
  <c r="C180" i="43"/>
  <c r="C179" i="43"/>
  <c r="R40" i="43"/>
  <c r="R41" i="43"/>
  <c r="R42" i="43"/>
  <c r="R43" i="43"/>
  <c r="R44" i="43"/>
  <c r="R45" i="43"/>
  <c r="R46" i="43"/>
  <c r="R47" i="43"/>
  <c r="R48" i="43"/>
  <c r="R49" i="43"/>
  <c r="R50" i="43"/>
  <c r="R51" i="43"/>
  <c r="O40" i="43"/>
  <c r="O41" i="43" s="1"/>
  <c r="O42" i="43" s="1"/>
  <c r="P40" i="43"/>
  <c r="P41" i="43"/>
  <c r="O43" i="43"/>
  <c r="O44" i="43" s="1"/>
  <c r="O45" i="43" s="1"/>
  <c r="P43" i="43"/>
  <c r="P44" i="43"/>
  <c r="O46" i="43"/>
  <c r="O47" i="43" s="1"/>
  <c r="O48" i="43" s="1"/>
  <c r="P46" i="43"/>
  <c r="P47" i="43"/>
  <c r="O49" i="43"/>
  <c r="O50" i="43" s="1"/>
  <c r="O51" i="43" s="1"/>
  <c r="P49" i="43"/>
  <c r="P50" i="43"/>
  <c r="J17" i="5"/>
  <c r="P42" i="43" l="1"/>
  <c r="P45" i="43"/>
  <c r="P48" i="43"/>
  <c r="P51" i="43"/>
  <c r="J18" i="5" l="1"/>
  <c r="J19" i="5" l="1"/>
  <c r="J20" i="5"/>
  <c r="J126" i="43" l="1"/>
  <c r="J167" i="43" s="1"/>
  <c r="J121" i="43"/>
  <c r="J116" i="43"/>
  <c r="J111" i="43"/>
  <c r="O124" i="43"/>
  <c r="P124" i="43"/>
  <c r="O125" i="43"/>
  <c r="P125" i="43"/>
  <c r="O126" i="43"/>
  <c r="O127" i="43"/>
  <c r="P127" i="43"/>
  <c r="O119" i="43"/>
  <c r="O120" i="43"/>
  <c r="O121" i="43"/>
  <c r="O122" i="43"/>
  <c r="O123" i="43" s="1"/>
  <c r="O128" i="43"/>
  <c r="O129" i="43"/>
  <c r="O105" i="43"/>
  <c r="O106" i="43"/>
  <c r="O107" i="43" s="1"/>
  <c r="O108" i="43"/>
  <c r="O109" i="43"/>
  <c r="O110" i="43"/>
  <c r="O111" i="43"/>
  <c r="O112" i="43"/>
  <c r="O113" i="43" s="1"/>
  <c r="O114" i="43"/>
  <c r="O115" i="43"/>
  <c r="O116" i="43"/>
  <c r="O117" i="43"/>
  <c r="O118" i="43" s="1"/>
  <c r="N114" i="43"/>
  <c r="N73" i="43"/>
  <c r="N74" i="43"/>
  <c r="G101" i="43" l="1"/>
  <c r="H101" i="43"/>
  <c r="I101" i="43"/>
  <c r="J101" i="43"/>
  <c r="F101" i="43"/>
  <c r="C200" i="43"/>
  <c r="R101" i="43"/>
  <c r="J43" i="5"/>
  <c r="P101" i="43" l="1"/>
  <c r="J48" i="5"/>
  <c r="B166" i="43" l="1"/>
  <c r="C206" i="43" s="1"/>
  <c r="R115" i="43"/>
  <c r="R116" i="43"/>
  <c r="R117" i="43"/>
  <c r="R118" i="43"/>
  <c r="R119" i="43"/>
  <c r="R120" i="43"/>
  <c r="R121" i="43"/>
  <c r="R122" i="43"/>
  <c r="P115" i="43"/>
  <c r="P117" i="43"/>
  <c r="P118" i="43"/>
  <c r="P119" i="43"/>
  <c r="P120" i="43"/>
  <c r="P122" i="43"/>
  <c r="R108" i="43"/>
  <c r="R109" i="43"/>
  <c r="R110" i="43"/>
  <c r="R111" i="43"/>
  <c r="R112" i="43"/>
  <c r="R113" i="43"/>
  <c r="P108" i="43"/>
  <c r="P109" i="43"/>
  <c r="P110" i="43"/>
  <c r="P112" i="43"/>
  <c r="P113" i="43"/>
  <c r="N108" i="43"/>
  <c r="N109" i="43"/>
  <c r="N110" i="43"/>
  <c r="N111" i="43"/>
  <c r="N112" i="43"/>
  <c r="N113" i="43"/>
  <c r="P116" i="43" s="1"/>
  <c r="B167" i="43"/>
  <c r="P123" i="43" l="1"/>
  <c r="F28" i="43" l="1"/>
  <c r="N9" i="43" l="1"/>
  <c r="B131" i="43" l="1"/>
  <c r="B171" i="43"/>
  <c r="B103" i="43"/>
  <c r="B69" i="43"/>
  <c r="B76" i="43"/>
  <c r="B18" i="43"/>
  <c r="B25" i="43"/>
  <c r="I3" i="43"/>
  <c r="E58" i="4"/>
  <c r="G79" i="4"/>
  <c r="H58" i="4"/>
  <c r="G72" i="4"/>
  <c r="F79" i="4"/>
  <c r="D72" i="4"/>
  <c r="E79" i="4"/>
  <c r="F72" i="4"/>
  <c r="D51" i="4"/>
  <c r="G51" i="4"/>
  <c r="H51" i="4"/>
  <c r="D58" i="4"/>
  <c r="D65" i="4"/>
  <c r="H72" i="4"/>
  <c r="F65" i="4"/>
  <c r="E72" i="4"/>
  <c r="H79" i="4"/>
  <c r="F58" i="4"/>
  <c r="G58" i="4"/>
  <c r="G65" i="4"/>
  <c r="H65" i="4"/>
  <c r="D79" i="4"/>
  <c r="E51" i="4"/>
  <c r="E65" i="4"/>
  <c r="F51" i="4"/>
  <c r="F65" i="43" l="1"/>
  <c r="F39" i="43"/>
  <c r="F138" i="43" s="1"/>
  <c r="F36" i="43"/>
  <c r="F33" i="43"/>
  <c r="F136" i="43" s="1"/>
  <c r="R99" i="43" l="1"/>
  <c r="P81" i="43"/>
  <c r="P82" i="43"/>
  <c r="P83" i="43"/>
  <c r="P84" i="43"/>
  <c r="P86" i="43"/>
  <c r="P87" i="43"/>
  <c r="P88" i="43"/>
  <c r="P89" i="43"/>
  <c r="P93" i="43"/>
  <c r="P94" i="43"/>
  <c r="P95" i="43"/>
  <c r="P96" i="43"/>
  <c r="P98" i="43"/>
  <c r="P74" i="43"/>
  <c r="P73" i="43"/>
  <c r="P72" i="43"/>
  <c r="P71" i="43"/>
  <c r="P64" i="43"/>
  <c r="P63" i="43"/>
  <c r="P61" i="43"/>
  <c r="P60" i="43"/>
  <c r="P58" i="43"/>
  <c r="P57" i="43"/>
  <c r="P56" i="43"/>
  <c r="P54" i="43"/>
  <c r="P53" i="43"/>
  <c r="P52" i="43"/>
  <c r="P38" i="43"/>
  <c r="P37" i="43"/>
  <c r="P35" i="43"/>
  <c r="P34" i="43"/>
  <c r="P32" i="43"/>
  <c r="P31" i="43"/>
  <c r="P27" i="43"/>
  <c r="P26" i="43"/>
  <c r="O32" i="43"/>
  <c r="O33" i="43" s="1"/>
  <c r="O35" i="43"/>
  <c r="O36" i="43" s="1"/>
  <c r="O37" i="43"/>
  <c r="O38" i="43" s="1"/>
  <c r="O39" i="43" s="1"/>
  <c r="O53" i="43"/>
  <c r="O54" i="43" s="1"/>
  <c r="O55" i="43" s="1"/>
  <c r="P55" i="43" s="1"/>
  <c r="O56" i="43"/>
  <c r="O57" i="43" s="1"/>
  <c r="O58" i="43" s="1"/>
  <c r="O59" i="43" s="1"/>
  <c r="O60" i="43"/>
  <c r="O61" i="43" s="1"/>
  <c r="O62" i="43" s="1"/>
  <c r="O63" i="43"/>
  <c r="O64" i="43" s="1"/>
  <c r="O65" i="43" s="1"/>
  <c r="O66" i="43"/>
  <c r="O67" i="43"/>
  <c r="O71" i="43"/>
  <c r="O72" i="43" s="1"/>
  <c r="O77" i="43"/>
  <c r="O78" i="43"/>
  <c r="O79" i="43"/>
  <c r="O80" i="43"/>
  <c r="O81" i="43"/>
  <c r="O82" i="43" s="1"/>
  <c r="O83" i="43" s="1"/>
  <c r="O84" i="43" s="1"/>
  <c r="O85" i="43" s="1"/>
  <c r="O86" i="43"/>
  <c r="O87" i="43" s="1"/>
  <c r="O88" i="43" s="1"/>
  <c r="O89" i="43" s="1"/>
  <c r="O90" i="43" s="1"/>
  <c r="O91" i="43"/>
  <c r="O93" i="43"/>
  <c r="O94" i="43" s="1"/>
  <c r="O95" i="43" s="1"/>
  <c r="O96" i="43" s="1"/>
  <c r="O97" i="43" s="1"/>
  <c r="O98" i="43"/>
  <c r="O99" i="43" s="1"/>
  <c r="O100" i="43"/>
  <c r="O104" i="43"/>
  <c r="O26" i="43"/>
  <c r="O27" i="43" s="1"/>
  <c r="O28" i="43" s="1"/>
  <c r="O29" i="43" s="1"/>
  <c r="N67" i="43"/>
  <c r="N71" i="43"/>
  <c r="N72" i="43"/>
  <c r="N77" i="43"/>
  <c r="N78" i="43"/>
  <c r="N79" i="43"/>
  <c r="N80" i="43"/>
  <c r="N81" i="43"/>
  <c r="N82" i="43" s="1"/>
  <c r="N83" i="43" s="1"/>
  <c r="N84" i="43" s="1"/>
  <c r="N85" i="43" s="1"/>
  <c r="N86" i="43"/>
  <c r="N87" i="43" s="1"/>
  <c r="N88" i="43" s="1"/>
  <c r="N89" i="43" s="1"/>
  <c r="N90" i="43" s="1"/>
  <c r="N91" i="43"/>
  <c r="N93" i="43"/>
  <c r="N94" i="43" s="1"/>
  <c r="N95" i="43" s="1"/>
  <c r="N96" i="43" s="1"/>
  <c r="N97" i="43" s="1"/>
  <c r="N98" i="43"/>
  <c r="N99" i="43" s="1"/>
  <c r="N100" i="43"/>
  <c r="N104" i="43"/>
  <c r="N105" i="43"/>
  <c r="N106" i="43"/>
  <c r="N107" i="43"/>
  <c r="P111" i="43" s="1"/>
  <c r="N129" i="43"/>
  <c r="R129" i="43"/>
  <c r="R128" i="43"/>
  <c r="R114" i="43"/>
  <c r="R107" i="43"/>
  <c r="R106" i="43"/>
  <c r="R105" i="43"/>
  <c r="R104" i="43"/>
  <c r="R100" i="43"/>
  <c r="R98" i="43"/>
  <c r="R97" i="43"/>
  <c r="R96" i="43"/>
  <c r="R95" i="43"/>
  <c r="R94" i="43"/>
  <c r="R93" i="43"/>
  <c r="R91" i="43"/>
  <c r="R90" i="43"/>
  <c r="R89" i="43"/>
  <c r="R88" i="43"/>
  <c r="R87" i="43"/>
  <c r="R86" i="43"/>
  <c r="R85" i="43"/>
  <c r="R84" i="43"/>
  <c r="R83" i="43"/>
  <c r="R82" i="43"/>
  <c r="R81" i="43"/>
  <c r="R80" i="43"/>
  <c r="R79" i="43"/>
  <c r="R78" i="43"/>
  <c r="R77" i="43"/>
  <c r="R74" i="43"/>
  <c r="R73" i="43"/>
  <c r="R72" i="43"/>
  <c r="R71" i="43"/>
  <c r="R27" i="43"/>
  <c r="R28" i="43"/>
  <c r="R31" i="43"/>
  <c r="R32" i="43"/>
  <c r="R33" i="43"/>
  <c r="R34" i="43"/>
  <c r="R35" i="43"/>
  <c r="R36" i="43"/>
  <c r="R37" i="43"/>
  <c r="R38" i="43"/>
  <c r="R39" i="43"/>
  <c r="R52" i="43"/>
  <c r="R53" i="43"/>
  <c r="R54" i="43"/>
  <c r="R56" i="43"/>
  <c r="R57" i="43"/>
  <c r="R58" i="43"/>
  <c r="R59" i="43"/>
  <c r="R60" i="43"/>
  <c r="R61" i="43"/>
  <c r="R62" i="43"/>
  <c r="R63" i="43"/>
  <c r="R64" i="43"/>
  <c r="R65" i="43"/>
  <c r="R66" i="43"/>
  <c r="R67" i="43"/>
  <c r="R26" i="43"/>
  <c r="O30" i="43" l="1"/>
  <c r="P30" i="43" s="1"/>
  <c r="P29" i="43"/>
  <c r="P33" i="43"/>
  <c r="P99" i="43"/>
  <c r="P90" i="43"/>
  <c r="P59" i="43"/>
  <c r="P106" i="43"/>
  <c r="P100" i="43"/>
  <c r="P97" i="43"/>
  <c r="P62" i="43"/>
  <c r="P77" i="43"/>
  <c r="P28" i="43"/>
  <c r="P65" i="43"/>
  <c r="P128" i="43"/>
  <c r="B168" i="43" s="1"/>
  <c r="P91" i="43"/>
  <c r="P39" i="43"/>
  <c r="P85" i="43"/>
  <c r="P80" i="43"/>
  <c r="P105" i="43"/>
  <c r="P104" i="43"/>
  <c r="P79" i="43"/>
  <c r="P78" i="43"/>
  <c r="P67" i="43"/>
  <c r="P66" i="43"/>
  <c r="P36" i="43"/>
  <c r="P129" i="43"/>
  <c r="P107" i="43"/>
  <c r="N165" i="43" l="1"/>
  <c r="O165" i="43"/>
  <c r="P165" i="43"/>
  <c r="Q165" i="43"/>
  <c r="R165" i="43"/>
  <c r="N166" i="43"/>
  <c r="O166" i="43"/>
  <c r="N167" i="43"/>
  <c r="P167" i="43"/>
  <c r="Q167" i="43"/>
  <c r="R167" i="43"/>
  <c r="O167" i="43"/>
  <c r="P166" i="43"/>
  <c r="Q166" i="43"/>
  <c r="R166" i="43"/>
  <c r="B169" i="43"/>
  <c r="Q164" i="43" l="1"/>
  <c r="R164" i="43"/>
  <c r="C209" i="43"/>
  <c r="C208" i="43"/>
  <c r="C207" i="43"/>
  <c r="C205" i="43"/>
  <c r="J46" i="5"/>
  <c r="J47" i="5"/>
  <c r="J49" i="5"/>
  <c r="J59" i="5"/>
  <c r="J60" i="5"/>
  <c r="I45" i="5"/>
  <c r="J45" i="5" s="1"/>
  <c r="J29" i="5"/>
  <c r="J30" i="5"/>
  <c r="J31" i="5"/>
  <c r="J32" i="5"/>
  <c r="J33" i="5"/>
  <c r="J34" i="5"/>
  <c r="J35" i="5"/>
  <c r="J36" i="5"/>
  <c r="J42" i="5"/>
  <c r="J28" i="5"/>
  <c r="J21" i="5"/>
  <c r="J22" i="5"/>
  <c r="J24" i="5"/>
  <c r="J25" i="5"/>
  <c r="I10" i="5"/>
  <c r="G33" i="43"/>
  <c r="H33" i="43"/>
  <c r="I33" i="43"/>
  <c r="J33" i="43"/>
  <c r="G36" i="43"/>
  <c r="H36" i="43"/>
  <c r="I36" i="43"/>
  <c r="J36" i="43"/>
  <c r="G28" i="43"/>
  <c r="H28" i="43"/>
  <c r="I28" i="43"/>
  <c r="J28" i="43"/>
  <c r="P164" i="43" l="1"/>
  <c r="O164" i="43"/>
  <c r="N164" i="43"/>
  <c r="F204" i="43" s="1"/>
  <c r="J14" i="5"/>
  <c r="J10" i="5"/>
  <c r="J37" i="5"/>
  <c r="C176" i="43"/>
  <c r="C177" i="43"/>
  <c r="C173" i="43"/>
  <c r="C178" i="43"/>
  <c r="J50" i="5"/>
  <c r="J26" i="5"/>
  <c r="J23" i="5"/>
  <c r="G65" i="43"/>
  <c r="H65" i="43"/>
  <c r="I65" i="43"/>
  <c r="J65" i="43"/>
  <c r="J38" i="5" l="1"/>
  <c r="C185" i="43"/>
  <c r="C199" i="43"/>
  <c r="C188" i="43"/>
  <c r="J51" i="5"/>
  <c r="J15" i="5" l="1"/>
  <c r="J16" i="5"/>
  <c r="J39" i="5"/>
  <c r="J40" i="5" l="1"/>
  <c r="J41" i="5"/>
  <c r="J52" i="5"/>
  <c r="J53" i="5"/>
  <c r="J54" i="5" l="1"/>
  <c r="J55" i="5" l="1"/>
  <c r="J56" i="5" l="1"/>
  <c r="H205" i="96" l="1"/>
  <c r="J58" i="5"/>
  <c r="H204" i="95" s="1"/>
  <c r="J57" i="5"/>
  <c r="G204" i="43" s="1"/>
  <c r="C204" i="43"/>
  <c r="C203" i="43"/>
  <c r="C202" i="43"/>
  <c r="B158" i="43"/>
  <c r="B157" i="43"/>
  <c r="B156" i="43"/>
  <c r="B155" i="43"/>
  <c r="B154" i="43"/>
  <c r="B153" i="43"/>
  <c r="B152" i="43"/>
  <c r="B151" i="43"/>
  <c r="B150" i="43"/>
  <c r="B149" i="43"/>
  <c r="C187" i="43"/>
  <c r="C186" i="43"/>
  <c r="B144" i="43"/>
  <c r="B143" i="43"/>
  <c r="J97" i="43"/>
  <c r="I97" i="43"/>
  <c r="H97" i="43"/>
  <c r="G97" i="43"/>
  <c r="F97" i="43"/>
  <c r="J90" i="43"/>
  <c r="I90" i="43"/>
  <c r="H90" i="43"/>
  <c r="G90" i="43"/>
  <c r="F90" i="43"/>
  <c r="J85" i="43"/>
  <c r="I85" i="43"/>
  <c r="H85" i="43"/>
  <c r="G85" i="43"/>
  <c r="J39" i="43"/>
  <c r="I39" i="43"/>
  <c r="H39" i="43"/>
  <c r="G39" i="43"/>
  <c r="E173" i="97" l="1"/>
  <c r="G173" i="97" s="1"/>
  <c r="E185" i="43"/>
  <c r="G204" i="98"/>
  <c r="E176" i="43"/>
  <c r="E193" i="97"/>
  <c r="E183" i="43"/>
  <c r="G206" i="43"/>
  <c r="E192" i="97"/>
  <c r="E195" i="95"/>
  <c r="J206" i="94"/>
  <c r="E194" i="98"/>
  <c r="E174" i="96"/>
  <c r="E209" i="95"/>
  <c r="E184" i="95"/>
  <c r="E181" i="95"/>
  <c r="E194" i="94"/>
  <c r="J205" i="98"/>
  <c r="E201" i="97"/>
  <c r="G206" i="97"/>
  <c r="I206" i="43"/>
  <c r="E190" i="97"/>
  <c r="E199" i="97"/>
  <c r="E181" i="98"/>
  <c r="E188" i="96"/>
  <c r="G205" i="97"/>
  <c r="E202" i="97"/>
  <c r="E181" i="96"/>
  <c r="E195" i="96"/>
  <c r="E189" i="98"/>
  <c r="J205" i="96"/>
  <c r="I205" i="98"/>
  <c r="E196" i="97"/>
  <c r="I204" i="94"/>
  <c r="E177" i="95"/>
  <c r="E202" i="94"/>
  <c r="E189" i="96"/>
  <c r="E189" i="94"/>
  <c r="G204" i="97"/>
  <c r="E194" i="97"/>
  <c r="H204" i="98"/>
  <c r="F206" i="97"/>
  <c r="E185" i="94"/>
  <c r="E194" i="95"/>
  <c r="J204" i="97"/>
  <c r="E186" i="94"/>
  <c r="E177" i="96"/>
  <c r="E177" i="98"/>
  <c r="F206" i="98"/>
  <c r="E197" i="96"/>
  <c r="E201" i="94"/>
  <c r="E193" i="98"/>
  <c r="E176" i="95"/>
  <c r="E190" i="98"/>
  <c r="E188" i="98"/>
  <c r="E182" i="96"/>
  <c r="F204" i="94"/>
  <c r="E190" i="94"/>
  <c r="E193" i="95"/>
  <c r="I205" i="43"/>
  <c r="E199" i="98"/>
  <c r="E192" i="94"/>
  <c r="E202" i="98"/>
  <c r="E196" i="98"/>
  <c r="E192" i="95"/>
  <c r="E209" i="96"/>
  <c r="H206" i="95"/>
  <c r="E201" i="95"/>
  <c r="F205" i="94"/>
  <c r="E185" i="97"/>
  <c r="E208" i="94"/>
  <c r="E196" i="95"/>
  <c r="F206" i="43"/>
  <c r="E176" i="98"/>
  <c r="H204" i="94"/>
  <c r="E200" i="97"/>
  <c r="E190" i="96"/>
  <c r="E182" i="98"/>
  <c r="E203" i="98"/>
  <c r="E178" i="95"/>
  <c r="E200" i="98"/>
  <c r="E175" i="97"/>
  <c r="E180" i="97"/>
  <c r="H205" i="43"/>
  <c r="E177" i="97"/>
  <c r="E183" i="96"/>
  <c r="E191" i="95"/>
  <c r="E178" i="98"/>
  <c r="G204" i="95"/>
  <c r="I206" i="96"/>
  <c r="G205" i="98"/>
  <c r="E191" i="97"/>
  <c r="E181" i="94"/>
  <c r="E180" i="96"/>
  <c r="I205" i="94"/>
  <c r="F204" i="95"/>
  <c r="E177" i="94"/>
  <c r="E178" i="94"/>
  <c r="E190" i="95"/>
  <c r="E184" i="97"/>
  <c r="E203" i="95"/>
  <c r="E179" i="98"/>
  <c r="E187" i="94"/>
  <c r="E182" i="94"/>
  <c r="E189" i="95"/>
  <c r="E200" i="96"/>
  <c r="E183" i="94"/>
  <c r="E208" i="97"/>
  <c r="J205" i="94"/>
  <c r="E183" i="95"/>
  <c r="E179" i="95"/>
  <c r="E186" i="98"/>
  <c r="E197" i="98"/>
  <c r="E197" i="95"/>
  <c r="E187" i="97"/>
  <c r="E176" i="96"/>
  <c r="J204" i="94"/>
  <c r="E191" i="98"/>
  <c r="E186" i="95"/>
  <c r="E188" i="94"/>
  <c r="E184" i="96"/>
  <c r="E203" i="94"/>
  <c r="E195" i="97"/>
  <c r="E176" i="97"/>
  <c r="F204" i="98"/>
  <c r="E182" i="95"/>
  <c r="E185" i="96"/>
  <c r="E180" i="94"/>
  <c r="E196" i="94"/>
  <c r="E192" i="98"/>
  <c r="G204" i="94"/>
  <c r="E193" i="94"/>
  <c r="E178" i="96"/>
  <c r="E185" i="98"/>
  <c r="E186" i="96"/>
  <c r="E202" i="96"/>
  <c r="H206" i="96"/>
  <c r="I204" i="98"/>
  <c r="G205" i="43"/>
  <c r="E187" i="98"/>
  <c r="H205" i="98"/>
  <c r="J204" i="43"/>
  <c r="E175" i="98"/>
  <c r="E193" i="96"/>
  <c r="E184" i="94"/>
  <c r="E180" i="95"/>
  <c r="E180" i="98"/>
  <c r="E183" i="97"/>
  <c r="E185" i="95"/>
  <c r="I206" i="95"/>
  <c r="E175" i="96"/>
  <c r="J205" i="95"/>
  <c r="E178" i="97"/>
  <c r="E201" i="96"/>
  <c r="E175" i="95"/>
  <c r="E179" i="94"/>
  <c r="E199" i="96"/>
  <c r="E188" i="97"/>
  <c r="E200" i="95"/>
  <c r="J206" i="43"/>
  <c r="E208" i="96"/>
  <c r="I205" i="95"/>
  <c r="E189" i="97"/>
  <c r="I204" i="97"/>
  <c r="J206" i="98"/>
  <c r="E182" i="97"/>
  <c r="H205" i="97"/>
  <c r="I204" i="95"/>
  <c r="E174" i="94"/>
  <c r="I204" i="96"/>
  <c r="E177" i="43"/>
  <c r="E209" i="94"/>
  <c r="E191" i="43"/>
  <c r="I206" i="98"/>
  <c r="E179" i="43"/>
  <c r="E176" i="94"/>
  <c r="E181" i="97"/>
  <c r="E186" i="97"/>
  <c r="G205" i="94"/>
  <c r="E195" i="94"/>
  <c r="F205" i="98"/>
  <c r="I205" i="96"/>
  <c r="E188" i="95"/>
  <c r="E187" i="96"/>
  <c r="E173" i="94"/>
  <c r="E200" i="43"/>
  <c r="E173" i="98"/>
  <c r="J206" i="96"/>
  <c r="G206" i="95"/>
  <c r="E183" i="98"/>
  <c r="E203" i="96"/>
  <c r="J204" i="95"/>
  <c r="E189" i="43"/>
  <c r="E199" i="94"/>
  <c r="E195" i="43"/>
  <c r="E179" i="97"/>
  <c r="E192" i="43"/>
  <c r="H204" i="97"/>
  <c r="F205" i="95"/>
  <c r="J204" i="96"/>
  <c r="E208" i="43"/>
  <c r="E191" i="96"/>
  <c r="E209" i="43"/>
  <c r="I204" i="43"/>
  <c r="F205" i="43"/>
  <c r="H206" i="94"/>
  <c r="E174" i="43"/>
  <c r="E184" i="98"/>
  <c r="E187" i="95"/>
  <c r="E186" i="43"/>
  <c r="H186" i="43" s="1"/>
  <c r="E193" i="43"/>
  <c r="E175" i="94"/>
  <c r="H204" i="43"/>
  <c r="E197" i="94"/>
  <c r="E173" i="95"/>
  <c r="H206" i="98"/>
  <c r="J206" i="97"/>
  <c r="J205" i="97"/>
  <c r="G206" i="96"/>
  <c r="E195" i="98"/>
  <c r="I205" i="97"/>
  <c r="H205" i="94"/>
  <c r="E201" i="98"/>
  <c r="E208" i="95"/>
  <c r="E194" i="43"/>
  <c r="K62" i="5"/>
  <c r="G206" i="98"/>
  <c r="J205" i="43"/>
  <c r="F206" i="96"/>
  <c r="E187" i="43"/>
  <c r="H187" i="43" s="1"/>
  <c r="J204" i="98"/>
  <c r="E188" i="43"/>
  <c r="F204" i="96"/>
  <c r="E175" i="43"/>
  <c r="E202" i="95"/>
  <c r="E174" i="95"/>
  <c r="E191" i="94"/>
  <c r="G206" i="94"/>
  <c r="E197" i="97"/>
  <c r="H206" i="43"/>
  <c r="I206" i="94"/>
  <c r="E209" i="97"/>
  <c r="F205" i="97"/>
  <c r="E202" i="43"/>
  <c r="E199" i="43"/>
  <c r="G205" i="96"/>
  <c r="E179" i="96"/>
  <c r="E203" i="97"/>
  <c r="E192" i="96"/>
  <c r="H205" i="95"/>
  <c r="J206" i="95"/>
  <c r="H204" i="96"/>
  <c r="E208" i="98"/>
  <c r="E180" i="43"/>
  <c r="E178" i="43"/>
  <c r="E200" i="94"/>
  <c r="E194" i="96"/>
  <c r="E174" i="97"/>
  <c r="F206" i="94"/>
  <c r="E190" i="43"/>
  <c r="F204" i="97"/>
  <c r="I206" i="97"/>
  <c r="E196" i="96"/>
  <c r="E209" i="98"/>
  <c r="E182" i="43"/>
  <c r="F205" i="96"/>
  <c r="E174" i="98"/>
  <c r="E196" i="43"/>
  <c r="E199" i="95"/>
  <c r="F206" i="95"/>
  <c r="E173" i="96"/>
  <c r="E173" i="43"/>
  <c r="E181" i="43"/>
  <c r="E201" i="43"/>
  <c r="E203" i="43"/>
  <c r="E184" i="43"/>
  <c r="G204" i="96"/>
  <c r="E197" i="43"/>
  <c r="H206" i="97"/>
  <c r="G205" i="95"/>
  <c r="Q132" i="43"/>
  <c r="G200" i="43"/>
  <c r="C193" i="43"/>
  <c r="C197" i="43"/>
  <c r="C198" i="43"/>
  <c r="C191" i="43"/>
  <c r="C194" i="43"/>
  <c r="C196" i="43"/>
  <c r="C183" i="43"/>
  <c r="C184" i="43"/>
  <c r="C189" i="43"/>
  <c r="C190" i="43"/>
  <c r="F209" i="43"/>
  <c r="F199" i="43"/>
  <c r="C195" i="43"/>
  <c r="C201" i="43"/>
  <c r="C192" i="43"/>
  <c r="F173" i="97" l="1"/>
  <c r="J173" i="97"/>
  <c r="H173" i="97"/>
  <c r="I173" i="97"/>
  <c r="F174" i="97"/>
  <c r="I174" i="97"/>
  <c r="G174" i="97"/>
  <c r="J174" i="97"/>
  <c r="H174" i="97"/>
  <c r="H201" i="98"/>
  <c r="J201" i="98"/>
  <c r="G201" i="98"/>
  <c r="I201" i="98"/>
  <c r="F201" i="98"/>
  <c r="G183" i="98"/>
  <c r="I183" i="98"/>
  <c r="J183" i="98"/>
  <c r="H183" i="98"/>
  <c r="F183" i="98"/>
  <c r="F188" i="95"/>
  <c r="H188" i="95"/>
  <c r="G188" i="95"/>
  <c r="J188" i="95"/>
  <c r="I188" i="95"/>
  <c r="G178" i="97"/>
  <c r="H178" i="97"/>
  <c r="J178" i="97"/>
  <c r="I178" i="97"/>
  <c r="F178" i="97"/>
  <c r="I180" i="95"/>
  <c r="J180" i="95"/>
  <c r="F180" i="95"/>
  <c r="G180" i="95"/>
  <c r="H180" i="95"/>
  <c r="I176" i="97"/>
  <c r="J176" i="97"/>
  <c r="F176" i="97"/>
  <c r="G176" i="97"/>
  <c r="H176" i="97"/>
  <c r="F176" i="96"/>
  <c r="I176" i="96"/>
  <c r="J176" i="96"/>
  <c r="G176" i="96"/>
  <c r="H176" i="96"/>
  <c r="F203" i="95"/>
  <c r="J203" i="95"/>
  <c r="G203" i="95"/>
  <c r="I203" i="95"/>
  <c r="H203" i="95"/>
  <c r="H181" i="94"/>
  <c r="I181" i="94"/>
  <c r="F181" i="94"/>
  <c r="G181" i="94"/>
  <c r="J181" i="94"/>
  <c r="I183" i="96"/>
  <c r="G183" i="96"/>
  <c r="J183" i="96"/>
  <c r="F183" i="96"/>
  <c r="H183" i="96"/>
  <c r="F203" i="98"/>
  <c r="G203" i="98"/>
  <c r="J203" i="98"/>
  <c r="I203" i="98"/>
  <c r="H203" i="98"/>
  <c r="J208" i="94"/>
  <c r="G208" i="94"/>
  <c r="H208" i="94"/>
  <c r="I208" i="94"/>
  <c r="F208" i="94"/>
  <c r="G202" i="98"/>
  <c r="H202" i="98"/>
  <c r="I202" i="98"/>
  <c r="F202" i="98"/>
  <c r="J202" i="98"/>
  <c r="G182" i="96"/>
  <c r="F182" i="96"/>
  <c r="I182" i="96"/>
  <c r="J182" i="96"/>
  <c r="H182" i="96"/>
  <c r="F177" i="98"/>
  <c r="H177" i="98"/>
  <c r="G177" i="98"/>
  <c r="I177" i="98"/>
  <c r="J177" i="98"/>
  <c r="J194" i="98"/>
  <c r="G194" i="98"/>
  <c r="F194" i="98"/>
  <c r="H194" i="98"/>
  <c r="I194" i="98"/>
  <c r="F173" i="96"/>
  <c r="J173" i="96"/>
  <c r="G173" i="96"/>
  <c r="I173" i="96"/>
  <c r="H173" i="96"/>
  <c r="G194" i="96"/>
  <c r="J194" i="96"/>
  <c r="F194" i="96"/>
  <c r="H194" i="96"/>
  <c r="I194" i="96"/>
  <c r="F192" i="96"/>
  <c r="G192" i="96"/>
  <c r="H192" i="96"/>
  <c r="I192" i="96"/>
  <c r="J192" i="96"/>
  <c r="G191" i="94"/>
  <c r="J191" i="94"/>
  <c r="I191" i="94"/>
  <c r="H191" i="94"/>
  <c r="F191" i="94"/>
  <c r="G179" i="97"/>
  <c r="F179" i="97"/>
  <c r="H179" i="97"/>
  <c r="J179" i="97"/>
  <c r="I179" i="97"/>
  <c r="H182" i="97"/>
  <c r="J182" i="97"/>
  <c r="I182" i="97"/>
  <c r="G182" i="97"/>
  <c r="F182" i="97"/>
  <c r="H200" i="95"/>
  <c r="F200" i="95"/>
  <c r="G200" i="95"/>
  <c r="J200" i="95"/>
  <c r="I200" i="95"/>
  <c r="F184" i="94"/>
  <c r="J184" i="94"/>
  <c r="H184" i="94"/>
  <c r="I184" i="94"/>
  <c r="G184" i="94"/>
  <c r="H192" i="98"/>
  <c r="G192" i="98"/>
  <c r="F192" i="98"/>
  <c r="J192" i="98"/>
  <c r="I192" i="98"/>
  <c r="H195" i="97"/>
  <c r="F195" i="97"/>
  <c r="G195" i="97"/>
  <c r="J195" i="97"/>
  <c r="I195" i="97"/>
  <c r="J187" i="97"/>
  <c r="F187" i="97"/>
  <c r="I187" i="97"/>
  <c r="G187" i="97"/>
  <c r="H187" i="97"/>
  <c r="H208" i="97"/>
  <c r="I208" i="97"/>
  <c r="F208" i="97"/>
  <c r="G208" i="97"/>
  <c r="J208" i="97"/>
  <c r="H184" i="97"/>
  <c r="I184" i="97"/>
  <c r="J184" i="97"/>
  <c r="F184" i="97"/>
  <c r="G184" i="97"/>
  <c r="G191" i="97"/>
  <c r="H191" i="97"/>
  <c r="F191" i="97"/>
  <c r="J191" i="97"/>
  <c r="I191" i="97"/>
  <c r="J177" i="97"/>
  <c r="H177" i="97"/>
  <c r="F177" i="97"/>
  <c r="I177" i="97"/>
  <c r="G177" i="97"/>
  <c r="I182" i="98"/>
  <c r="F182" i="98"/>
  <c r="H182" i="98"/>
  <c r="G182" i="98"/>
  <c r="J182" i="98"/>
  <c r="J185" i="97"/>
  <c r="H185" i="97"/>
  <c r="G185" i="97"/>
  <c r="I185" i="97"/>
  <c r="F185" i="97"/>
  <c r="J192" i="94"/>
  <c r="F192" i="94"/>
  <c r="H192" i="94"/>
  <c r="I192" i="94"/>
  <c r="G192" i="94"/>
  <c r="F188" i="98"/>
  <c r="I188" i="98"/>
  <c r="H188" i="98"/>
  <c r="G188" i="98"/>
  <c r="J188" i="98"/>
  <c r="G194" i="97"/>
  <c r="J194" i="97"/>
  <c r="H194" i="97"/>
  <c r="I194" i="97"/>
  <c r="F194" i="97"/>
  <c r="J196" i="97"/>
  <c r="I196" i="97"/>
  <c r="G196" i="97"/>
  <c r="F196" i="97"/>
  <c r="H196" i="97"/>
  <c r="J188" i="96"/>
  <c r="I188" i="96"/>
  <c r="F188" i="96"/>
  <c r="H188" i="96"/>
  <c r="G188" i="96"/>
  <c r="I194" i="94"/>
  <c r="G194" i="94"/>
  <c r="J194" i="94"/>
  <c r="F194" i="94"/>
  <c r="H194" i="94"/>
  <c r="J209" i="98"/>
  <c r="G209" i="98"/>
  <c r="H209" i="98"/>
  <c r="F209" i="98"/>
  <c r="I209" i="98"/>
  <c r="H200" i="94"/>
  <c r="I200" i="94"/>
  <c r="F200" i="94"/>
  <c r="J200" i="94"/>
  <c r="G200" i="94"/>
  <c r="J174" i="95"/>
  <c r="I174" i="95"/>
  <c r="H174" i="95"/>
  <c r="G174" i="95"/>
  <c r="F174" i="95"/>
  <c r="H188" i="97"/>
  <c r="J188" i="97"/>
  <c r="I188" i="97"/>
  <c r="G188" i="97"/>
  <c r="F188" i="97"/>
  <c r="H175" i="96"/>
  <c r="G175" i="96"/>
  <c r="I175" i="96"/>
  <c r="F175" i="96"/>
  <c r="J175" i="96"/>
  <c r="G193" i="96"/>
  <c r="F193" i="96"/>
  <c r="H193" i="96"/>
  <c r="I193" i="96"/>
  <c r="J193" i="96"/>
  <c r="I202" i="96"/>
  <c r="G202" i="96"/>
  <c r="F202" i="96"/>
  <c r="H202" i="96"/>
  <c r="J202" i="96"/>
  <c r="G196" i="94"/>
  <c r="H196" i="94"/>
  <c r="F196" i="94"/>
  <c r="J196" i="94"/>
  <c r="I196" i="94"/>
  <c r="F203" i="94"/>
  <c r="J203" i="94"/>
  <c r="G203" i="94"/>
  <c r="I203" i="94"/>
  <c r="H203" i="94"/>
  <c r="J183" i="94"/>
  <c r="H183" i="94"/>
  <c r="F183" i="94"/>
  <c r="G183" i="94"/>
  <c r="I183" i="94"/>
  <c r="I190" i="95"/>
  <c r="F190" i="95"/>
  <c r="H190" i="95"/>
  <c r="G190" i="95"/>
  <c r="J190" i="95"/>
  <c r="H190" i="96"/>
  <c r="J190" i="96"/>
  <c r="G190" i="96"/>
  <c r="F190" i="96"/>
  <c r="I190" i="96"/>
  <c r="F199" i="98"/>
  <c r="H199" i="98"/>
  <c r="I199" i="98"/>
  <c r="G199" i="98"/>
  <c r="J199" i="98"/>
  <c r="F190" i="98"/>
  <c r="H190" i="98"/>
  <c r="G190" i="98"/>
  <c r="I190" i="98"/>
  <c r="J190" i="98"/>
  <c r="I177" i="96"/>
  <c r="J177" i="96"/>
  <c r="F177" i="96"/>
  <c r="G177" i="96"/>
  <c r="H177" i="96"/>
  <c r="F181" i="98"/>
  <c r="I181" i="98"/>
  <c r="H181" i="98"/>
  <c r="J181" i="98"/>
  <c r="G181" i="98"/>
  <c r="G195" i="95"/>
  <c r="J195" i="95"/>
  <c r="I195" i="95"/>
  <c r="H195" i="95"/>
  <c r="F195" i="95"/>
  <c r="F199" i="95"/>
  <c r="G199" i="95"/>
  <c r="I199" i="95"/>
  <c r="H199" i="95"/>
  <c r="J199" i="95"/>
  <c r="G196" i="96"/>
  <c r="F196" i="96"/>
  <c r="J196" i="96"/>
  <c r="I196" i="96"/>
  <c r="H196" i="96"/>
  <c r="H202" i="95"/>
  <c r="I202" i="95"/>
  <c r="J202" i="95"/>
  <c r="F202" i="95"/>
  <c r="G202" i="95"/>
  <c r="I173" i="95"/>
  <c r="G173" i="95"/>
  <c r="H173" i="95"/>
  <c r="F173" i="95"/>
  <c r="J173" i="95"/>
  <c r="I191" i="96"/>
  <c r="H191" i="96"/>
  <c r="F191" i="96"/>
  <c r="G191" i="96"/>
  <c r="J191" i="96"/>
  <c r="I173" i="98"/>
  <c r="G173" i="98"/>
  <c r="F173" i="98"/>
  <c r="H173" i="98"/>
  <c r="J173" i="98"/>
  <c r="I195" i="94"/>
  <c r="J195" i="94"/>
  <c r="G195" i="94"/>
  <c r="H195" i="94"/>
  <c r="F195" i="94"/>
  <c r="G209" i="94"/>
  <c r="H209" i="94"/>
  <c r="I209" i="94"/>
  <c r="J209" i="94"/>
  <c r="F209" i="94"/>
  <c r="G199" i="96"/>
  <c r="J199" i="96"/>
  <c r="H199" i="96"/>
  <c r="I199" i="96"/>
  <c r="F199" i="96"/>
  <c r="G175" i="98"/>
  <c r="I175" i="98"/>
  <c r="F175" i="98"/>
  <c r="J175" i="98"/>
  <c r="H175" i="98"/>
  <c r="G186" i="96"/>
  <c r="I186" i="96"/>
  <c r="H186" i="96"/>
  <c r="F186" i="96"/>
  <c r="J186" i="96"/>
  <c r="I180" i="94"/>
  <c r="H180" i="94"/>
  <c r="F180" i="94"/>
  <c r="G180" i="94"/>
  <c r="J180" i="94"/>
  <c r="H184" i="96"/>
  <c r="G184" i="96"/>
  <c r="I184" i="96"/>
  <c r="F184" i="96"/>
  <c r="J184" i="96"/>
  <c r="J197" i="95"/>
  <c r="I197" i="95"/>
  <c r="G197" i="95"/>
  <c r="F197" i="95"/>
  <c r="H197" i="95"/>
  <c r="F200" i="96"/>
  <c r="I200" i="96"/>
  <c r="J200" i="96"/>
  <c r="G200" i="96"/>
  <c r="H200" i="96"/>
  <c r="J178" i="94"/>
  <c r="F178" i="94"/>
  <c r="G178" i="94"/>
  <c r="I178" i="94"/>
  <c r="H178" i="94"/>
  <c r="J180" i="97"/>
  <c r="H180" i="97"/>
  <c r="I180" i="97"/>
  <c r="F180" i="97"/>
  <c r="G180" i="97"/>
  <c r="J200" i="97"/>
  <c r="I200" i="97"/>
  <c r="F200" i="97"/>
  <c r="G200" i="97"/>
  <c r="H200" i="97"/>
  <c r="J201" i="95"/>
  <c r="I201" i="95"/>
  <c r="F201" i="95"/>
  <c r="G201" i="95"/>
  <c r="H201" i="95"/>
  <c r="G176" i="95"/>
  <c r="I176" i="95"/>
  <c r="H176" i="95"/>
  <c r="J176" i="95"/>
  <c r="F176" i="95"/>
  <c r="H186" i="94"/>
  <c r="J186" i="94"/>
  <c r="F186" i="94"/>
  <c r="I186" i="94"/>
  <c r="G186" i="94"/>
  <c r="H189" i="94"/>
  <c r="G189" i="94"/>
  <c r="J189" i="94"/>
  <c r="F189" i="94"/>
  <c r="I189" i="94"/>
  <c r="G199" i="97"/>
  <c r="H199" i="97"/>
  <c r="F199" i="97"/>
  <c r="I199" i="97"/>
  <c r="J199" i="97"/>
  <c r="H181" i="95"/>
  <c r="F181" i="95"/>
  <c r="J181" i="95"/>
  <c r="G181" i="95"/>
  <c r="I181" i="95"/>
  <c r="H192" i="97"/>
  <c r="G192" i="97"/>
  <c r="J192" i="97"/>
  <c r="I192" i="97"/>
  <c r="F192" i="97"/>
  <c r="F209" i="97"/>
  <c r="H209" i="97"/>
  <c r="I209" i="97"/>
  <c r="J209" i="97"/>
  <c r="G209" i="97"/>
  <c r="I195" i="98"/>
  <c r="H195" i="98"/>
  <c r="F195" i="98"/>
  <c r="J195" i="98"/>
  <c r="G195" i="98"/>
  <c r="J197" i="94"/>
  <c r="G197" i="94"/>
  <c r="F197" i="94"/>
  <c r="H197" i="94"/>
  <c r="I197" i="94"/>
  <c r="I187" i="95"/>
  <c r="J187" i="95"/>
  <c r="G187" i="95"/>
  <c r="H187" i="95"/>
  <c r="F187" i="95"/>
  <c r="G199" i="94"/>
  <c r="J199" i="94"/>
  <c r="H199" i="94"/>
  <c r="F199" i="94"/>
  <c r="I199" i="94"/>
  <c r="I185" i="95"/>
  <c r="F185" i="95"/>
  <c r="H185" i="95"/>
  <c r="G185" i="95"/>
  <c r="J185" i="95"/>
  <c r="I185" i="96"/>
  <c r="H185" i="96"/>
  <c r="J185" i="96"/>
  <c r="F185" i="96"/>
  <c r="G185" i="96"/>
  <c r="I188" i="94"/>
  <c r="F188" i="94"/>
  <c r="H188" i="94"/>
  <c r="G188" i="94"/>
  <c r="J188" i="94"/>
  <c r="G197" i="98"/>
  <c r="I197" i="98"/>
  <c r="H197" i="98"/>
  <c r="J197" i="98"/>
  <c r="F197" i="98"/>
  <c r="I189" i="95"/>
  <c r="F189" i="95"/>
  <c r="G189" i="95"/>
  <c r="J189" i="95"/>
  <c r="H189" i="95"/>
  <c r="I177" i="94"/>
  <c r="G177" i="94"/>
  <c r="J177" i="94"/>
  <c r="F177" i="94"/>
  <c r="H177" i="94"/>
  <c r="G193" i="95"/>
  <c r="F193" i="95"/>
  <c r="J193" i="95"/>
  <c r="I193" i="95"/>
  <c r="H193" i="95"/>
  <c r="F193" i="98"/>
  <c r="J193" i="98"/>
  <c r="H193" i="98"/>
  <c r="G193" i="98"/>
  <c r="I193" i="98"/>
  <c r="J189" i="96"/>
  <c r="H189" i="96"/>
  <c r="I189" i="96"/>
  <c r="G189" i="96"/>
  <c r="F189" i="96"/>
  <c r="J189" i="98"/>
  <c r="H189" i="98"/>
  <c r="I189" i="98"/>
  <c r="F189" i="98"/>
  <c r="G189" i="98"/>
  <c r="F190" i="97"/>
  <c r="I190" i="97"/>
  <c r="H190" i="97"/>
  <c r="J190" i="97"/>
  <c r="G190" i="97"/>
  <c r="H184" i="95"/>
  <c r="J184" i="95"/>
  <c r="I184" i="95"/>
  <c r="F184" i="95"/>
  <c r="G184" i="95"/>
  <c r="J208" i="98"/>
  <c r="F208" i="98"/>
  <c r="I208" i="98"/>
  <c r="G208" i="98"/>
  <c r="H208" i="98"/>
  <c r="F203" i="97"/>
  <c r="I203" i="97"/>
  <c r="G203" i="97"/>
  <c r="H203" i="97"/>
  <c r="J203" i="97"/>
  <c r="H184" i="98"/>
  <c r="G184" i="98"/>
  <c r="F184" i="98"/>
  <c r="J184" i="98"/>
  <c r="I184" i="98"/>
  <c r="J186" i="97"/>
  <c r="G186" i="97"/>
  <c r="H186" i="97"/>
  <c r="I186" i="97"/>
  <c r="F186" i="97"/>
  <c r="J189" i="97"/>
  <c r="I189" i="97"/>
  <c r="G189" i="97"/>
  <c r="F189" i="97"/>
  <c r="H189" i="97"/>
  <c r="J179" i="94"/>
  <c r="I179" i="94"/>
  <c r="H179" i="94"/>
  <c r="G179" i="94"/>
  <c r="F179" i="94"/>
  <c r="G183" i="97"/>
  <c r="F183" i="97"/>
  <c r="H183" i="97"/>
  <c r="J183" i="97"/>
  <c r="I183" i="97"/>
  <c r="F185" i="98"/>
  <c r="G185" i="98"/>
  <c r="I185" i="98"/>
  <c r="H185" i="98"/>
  <c r="J185" i="98"/>
  <c r="J182" i="95"/>
  <c r="I182" i="95"/>
  <c r="G182" i="95"/>
  <c r="F182" i="95"/>
  <c r="H182" i="95"/>
  <c r="I186" i="95"/>
  <c r="F186" i="95"/>
  <c r="H186" i="95"/>
  <c r="G186" i="95"/>
  <c r="J186" i="95"/>
  <c r="G186" i="98"/>
  <c r="J186" i="98"/>
  <c r="F186" i="98"/>
  <c r="H186" i="98"/>
  <c r="I186" i="98"/>
  <c r="G182" i="94"/>
  <c r="H182" i="94"/>
  <c r="F182" i="94"/>
  <c r="J182" i="94"/>
  <c r="I182" i="94"/>
  <c r="J175" i="97"/>
  <c r="G175" i="97"/>
  <c r="F175" i="97"/>
  <c r="H175" i="97"/>
  <c r="I175" i="97"/>
  <c r="F176" i="98"/>
  <c r="G176" i="98"/>
  <c r="J176" i="98"/>
  <c r="H176" i="98"/>
  <c r="I176" i="98"/>
  <c r="H209" i="96"/>
  <c r="F209" i="96"/>
  <c r="J209" i="96"/>
  <c r="G209" i="96"/>
  <c r="I209" i="96"/>
  <c r="G201" i="94"/>
  <c r="H201" i="94"/>
  <c r="F201" i="94"/>
  <c r="I201" i="94"/>
  <c r="J201" i="94"/>
  <c r="I194" i="95"/>
  <c r="H194" i="95"/>
  <c r="F194" i="95"/>
  <c r="J194" i="95"/>
  <c r="G194" i="95"/>
  <c r="G202" i="94"/>
  <c r="J202" i="94"/>
  <c r="H202" i="94"/>
  <c r="I202" i="94"/>
  <c r="F202" i="94"/>
  <c r="H195" i="96"/>
  <c r="F195" i="96"/>
  <c r="G195" i="96"/>
  <c r="I195" i="96"/>
  <c r="J195" i="96"/>
  <c r="I174" i="98"/>
  <c r="F174" i="98"/>
  <c r="J174" i="98"/>
  <c r="H174" i="98"/>
  <c r="G174" i="98"/>
  <c r="H179" i="96"/>
  <c r="F179" i="96"/>
  <c r="J179" i="96"/>
  <c r="I179" i="96"/>
  <c r="G179" i="96"/>
  <c r="F173" i="94"/>
  <c r="I173" i="94"/>
  <c r="H173" i="94"/>
  <c r="J173" i="94"/>
  <c r="G173" i="94"/>
  <c r="J181" i="97"/>
  <c r="G181" i="97"/>
  <c r="I181" i="97"/>
  <c r="F181" i="97"/>
  <c r="H181" i="97"/>
  <c r="H174" i="94"/>
  <c r="F174" i="94"/>
  <c r="I174" i="94"/>
  <c r="G174" i="94"/>
  <c r="J174" i="94"/>
  <c r="J175" i="95"/>
  <c r="F175" i="95"/>
  <c r="H175" i="95"/>
  <c r="G175" i="95"/>
  <c r="I175" i="95"/>
  <c r="H180" i="98"/>
  <c r="F180" i="98"/>
  <c r="I180" i="98"/>
  <c r="G180" i="98"/>
  <c r="J180" i="98"/>
  <c r="F187" i="98"/>
  <c r="G187" i="98"/>
  <c r="J187" i="98"/>
  <c r="H187" i="98"/>
  <c r="I187" i="98"/>
  <c r="I178" i="96"/>
  <c r="F178" i="96"/>
  <c r="G178" i="96"/>
  <c r="J178" i="96"/>
  <c r="H178" i="96"/>
  <c r="G191" i="98"/>
  <c r="H191" i="98"/>
  <c r="J191" i="98"/>
  <c r="F191" i="98"/>
  <c r="I191" i="98"/>
  <c r="I179" i="95"/>
  <c r="G179" i="95"/>
  <c r="H179" i="95"/>
  <c r="F179" i="95"/>
  <c r="J179" i="95"/>
  <c r="G187" i="94"/>
  <c r="I187" i="94"/>
  <c r="F187" i="94"/>
  <c r="J187" i="94"/>
  <c r="H187" i="94"/>
  <c r="G178" i="98"/>
  <c r="F178" i="98"/>
  <c r="I178" i="98"/>
  <c r="J178" i="98"/>
  <c r="H178" i="98"/>
  <c r="F200" i="98"/>
  <c r="I200" i="98"/>
  <c r="H200" i="98"/>
  <c r="J200" i="98"/>
  <c r="G200" i="98"/>
  <c r="J192" i="95"/>
  <c r="H192" i="95"/>
  <c r="F192" i="95"/>
  <c r="G192" i="95"/>
  <c r="I192" i="95"/>
  <c r="I190" i="94"/>
  <c r="G190" i="94"/>
  <c r="J190" i="94"/>
  <c r="F190" i="94"/>
  <c r="H190" i="94"/>
  <c r="I197" i="96"/>
  <c r="H197" i="96"/>
  <c r="J197" i="96"/>
  <c r="G197" i="96"/>
  <c r="F197" i="96"/>
  <c r="J185" i="94"/>
  <c r="H185" i="94"/>
  <c r="F185" i="94"/>
  <c r="G185" i="94"/>
  <c r="I185" i="94"/>
  <c r="F177" i="95"/>
  <c r="G177" i="95"/>
  <c r="H177" i="95"/>
  <c r="J177" i="95"/>
  <c r="I177" i="95"/>
  <c r="H181" i="96"/>
  <c r="F181" i="96"/>
  <c r="G181" i="96"/>
  <c r="J181" i="96"/>
  <c r="I181" i="96"/>
  <c r="F209" i="95"/>
  <c r="H209" i="95"/>
  <c r="J209" i="95"/>
  <c r="I209" i="95"/>
  <c r="G209" i="95"/>
  <c r="J193" i="97"/>
  <c r="H193" i="97"/>
  <c r="G193" i="97"/>
  <c r="F193" i="97"/>
  <c r="I193" i="97"/>
  <c r="I197" i="97"/>
  <c r="F197" i="97"/>
  <c r="G197" i="97"/>
  <c r="J197" i="97"/>
  <c r="H197" i="97"/>
  <c r="G208" i="95"/>
  <c r="I208" i="95"/>
  <c r="J208" i="95"/>
  <c r="H208" i="95"/>
  <c r="F208" i="95"/>
  <c r="G175" i="94"/>
  <c r="J175" i="94"/>
  <c r="I175" i="94"/>
  <c r="F175" i="94"/>
  <c r="H175" i="94"/>
  <c r="H203" i="96"/>
  <c r="I203" i="96"/>
  <c r="J203" i="96"/>
  <c r="G203" i="96"/>
  <c r="F203" i="96"/>
  <c r="H187" i="96"/>
  <c r="J187" i="96"/>
  <c r="G187" i="96"/>
  <c r="I187" i="96"/>
  <c r="F187" i="96"/>
  <c r="H176" i="94"/>
  <c r="I176" i="94"/>
  <c r="G176" i="94"/>
  <c r="F176" i="94"/>
  <c r="J176" i="94"/>
  <c r="G208" i="96"/>
  <c r="F208" i="96"/>
  <c r="J208" i="96"/>
  <c r="H208" i="96"/>
  <c r="I208" i="96"/>
  <c r="I201" i="96"/>
  <c r="F201" i="96"/>
  <c r="H201" i="96"/>
  <c r="G201" i="96"/>
  <c r="J201" i="96"/>
  <c r="J193" i="94"/>
  <c r="G193" i="94"/>
  <c r="F193" i="94"/>
  <c r="H193" i="94"/>
  <c r="I193" i="94"/>
  <c r="F183" i="95"/>
  <c r="J183" i="95"/>
  <c r="I183" i="95"/>
  <c r="G183" i="95"/>
  <c r="H183" i="95"/>
  <c r="J179" i="98"/>
  <c r="I179" i="98"/>
  <c r="F179" i="98"/>
  <c r="H179" i="98"/>
  <c r="G179" i="98"/>
  <c r="F180" i="96"/>
  <c r="H180" i="96"/>
  <c r="I180" i="96"/>
  <c r="G180" i="96"/>
  <c r="J180" i="96"/>
  <c r="I191" i="95"/>
  <c r="H191" i="95"/>
  <c r="G191" i="95"/>
  <c r="F191" i="95"/>
  <c r="J191" i="95"/>
  <c r="F178" i="95"/>
  <c r="I178" i="95"/>
  <c r="G178" i="95"/>
  <c r="H178" i="95"/>
  <c r="J178" i="95"/>
  <c r="J196" i="95"/>
  <c r="F196" i="95"/>
  <c r="I196" i="95"/>
  <c r="G196" i="95"/>
  <c r="H196" i="95"/>
  <c r="H196" i="98"/>
  <c r="I196" i="98"/>
  <c r="G196" i="98"/>
  <c r="J196" i="98"/>
  <c r="F196" i="98"/>
  <c r="J202" i="97"/>
  <c r="H202" i="97"/>
  <c r="F202" i="97"/>
  <c r="G202" i="97"/>
  <c r="I202" i="97"/>
  <c r="J201" i="97"/>
  <c r="G201" i="97"/>
  <c r="I201" i="97"/>
  <c r="F201" i="97"/>
  <c r="H201" i="97"/>
  <c r="H174" i="96"/>
  <c r="G174" i="96"/>
  <c r="F174" i="96"/>
  <c r="J174" i="96"/>
  <c r="I174" i="96"/>
  <c r="J174" i="43"/>
  <c r="I174" i="43"/>
  <c r="H174" i="43"/>
  <c r="F174" i="43"/>
  <c r="G174" i="43"/>
  <c r="F175" i="43"/>
  <c r="I175" i="43"/>
  <c r="J175" i="43"/>
  <c r="G175" i="43"/>
  <c r="H175" i="43"/>
  <c r="Q136" i="43"/>
  <c r="G208" i="43"/>
  <c r="J208" i="43"/>
  <c r="H208" i="43"/>
  <c r="F208" i="43"/>
  <c r="I208" i="43"/>
  <c r="I179" i="43"/>
  <c r="H179" i="43"/>
  <c r="F179" i="43"/>
  <c r="G179" i="43"/>
  <c r="J179" i="43"/>
  <c r="G182" i="43"/>
  <c r="J182" i="43"/>
  <c r="H182" i="43"/>
  <c r="I182" i="43"/>
  <c r="F182" i="43"/>
  <c r="F181" i="43"/>
  <c r="H181" i="43"/>
  <c r="I181" i="43"/>
  <c r="G181" i="43"/>
  <c r="J181" i="43"/>
  <c r="F180" i="43"/>
  <c r="J180" i="43"/>
  <c r="H180" i="43"/>
  <c r="G180" i="43"/>
  <c r="I180" i="43"/>
  <c r="G209" i="43"/>
  <c r="I209" i="43"/>
  <c r="J209" i="43"/>
  <c r="H209" i="43"/>
  <c r="F201" i="43"/>
  <c r="H201" i="43"/>
  <c r="G201" i="43"/>
  <c r="J201" i="43"/>
  <c r="I201" i="43"/>
  <c r="F203" i="43"/>
  <c r="J203" i="43"/>
  <c r="I203" i="43"/>
  <c r="H203" i="43"/>
  <c r="G203" i="43"/>
  <c r="J202" i="43"/>
  <c r="G202" i="43"/>
  <c r="H202" i="43"/>
  <c r="I202" i="43"/>
  <c r="F202" i="43"/>
  <c r="I200" i="43"/>
  <c r="F200" i="43"/>
  <c r="J200" i="43"/>
  <c r="H200" i="43"/>
  <c r="I186" i="43"/>
  <c r="J186" i="43"/>
  <c r="I187" i="43"/>
  <c r="J187" i="43"/>
  <c r="G186" i="43"/>
  <c r="F186" i="43"/>
  <c r="G187" i="43"/>
  <c r="F187" i="43"/>
  <c r="H196" i="43"/>
  <c r="F196" i="43"/>
  <c r="G196" i="43"/>
  <c r="F193" i="43"/>
  <c r="G193" i="43"/>
  <c r="H193" i="43"/>
  <c r="H192" i="43"/>
  <c r="F192" i="43"/>
  <c r="G192" i="43"/>
  <c r="J178" i="43"/>
  <c r="F178" i="43"/>
  <c r="G178" i="43"/>
  <c r="H178" i="43"/>
  <c r="I177" i="43"/>
  <c r="H177" i="43"/>
  <c r="F177" i="43"/>
  <c r="G177" i="43"/>
  <c r="H188" i="43"/>
  <c r="F188" i="43"/>
  <c r="G188" i="43"/>
  <c r="H195" i="43"/>
  <c r="F195" i="43"/>
  <c r="G195" i="43"/>
  <c r="F191" i="43"/>
  <c r="G191" i="43"/>
  <c r="H191" i="43"/>
  <c r="F197" i="43"/>
  <c r="G197" i="43"/>
  <c r="H197" i="43"/>
  <c r="F173" i="43"/>
  <c r="G173" i="43"/>
  <c r="H173" i="43"/>
  <c r="H199" i="43"/>
  <c r="G199" i="43"/>
  <c r="F189" i="43"/>
  <c r="G189" i="43"/>
  <c r="H189" i="43"/>
  <c r="F185" i="43"/>
  <c r="G185" i="43"/>
  <c r="H185" i="43"/>
  <c r="I176" i="43"/>
  <c r="F176" i="43"/>
  <c r="G176" i="43"/>
  <c r="H176" i="43"/>
  <c r="F190" i="43"/>
  <c r="G190" i="43"/>
  <c r="H190" i="43"/>
  <c r="H184" i="43"/>
  <c r="F184" i="43"/>
  <c r="G184" i="43"/>
  <c r="F194" i="43"/>
  <c r="G194" i="43"/>
  <c r="H194" i="43"/>
  <c r="J189" i="43"/>
  <c r="I193" i="43"/>
  <c r="J193" i="43"/>
  <c r="I196" i="43"/>
  <c r="J184" i="43"/>
  <c r="J194" i="43"/>
  <c r="J196" i="43"/>
  <c r="J177" i="43"/>
  <c r="I190" i="43"/>
  <c r="I191" i="43"/>
  <c r="I197" i="43"/>
  <c r="I194" i="43"/>
  <c r="J190" i="43"/>
  <c r="I189" i="43"/>
  <c r="J197" i="43"/>
  <c r="I184" i="43"/>
  <c r="J191" i="43"/>
  <c r="I185" i="43"/>
  <c r="I178" i="43"/>
  <c r="J199" i="43"/>
  <c r="I199" i="43"/>
  <c r="J176" i="43"/>
  <c r="I188" i="43"/>
  <c r="J188" i="43"/>
  <c r="J173" i="43"/>
  <c r="I173" i="43"/>
  <c r="J185" i="43"/>
  <c r="J195" i="43"/>
  <c r="I195" i="43"/>
  <c r="I192" i="43"/>
  <c r="J192" i="43"/>
  <c r="F40" i="4"/>
  <c r="E29" i="4"/>
  <c r="H39" i="4"/>
  <c r="H29" i="4"/>
  <c r="E31" i="4"/>
  <c r="F25" i="4"/>
  <c r="G25" i="4"/>
  <c r="E42" i="4"/>
  <c r="E36" i="4"/>
  <c r="D38" i="4"/>
  <c r="F26" i="4"/>
  <c r="G40" i="4"/>
  <c r="E26" i="4"/>
  <c r="E39" i="4"/>
  <c r="F34" i="4"/>
  <c r="E27" i="4"/>
  <c r="H42" i="4"/>
  <c r="G32" i="4"/>
  <c r="D28" i="4"/>
  <c r="E38" i="4"/>
  <c r="H40" i="4"/>
  <c r="F29" i="4"/>
  <c r="E34" i="4"/>
  <c r="F27" i="4"/>
  <c r="G34" i="4"/>
  <c r="G38" i="4"/>
  <c r="G26" i="4"/>
  <c r="H36" i="4"/>
  <c r="D39" i="4"/>
  <c r="G42" i="4"/>
  <c r="F42" i="4"/>
  <c r="H28" i="4"/>
  <c r="F41" i="4"/>
  <c r="D34" i="4"/>
  <c r="G27" i="4"/>
  <c r="F35" i="4"/>
  <c r="H34" i="4"/>
  <c r="H41" i="4"/>
  <c r="G29" i="4"/>
  <c r="D36" i="4"/>
  <c r="D27" i="4"/>
  <c r="G33" i="4"/>
  <c r="D32" i="4"/>
  <c r="F36" i="4"/>
  <c r="G39" i="4"/>
  <c r="D42" i="4"/>
  <c r="G28" i="4"/>
  <c r="G41" i="4"/>
  <c r="D26" i="4"/>
  <c r="D41" i="4"/>
  <c r="F39" i="4"/>
  <c r="H26" i="4"/>
  <c r="E41" i="4"/>
  <c r="G43" i="4"/>
  <c r="D33" i="4"/>
  <c r="H25" i="4"/>
  <c r="H43" i="4"/>
  <c r="D43" i="4"/>
  <c r="H31" i="4"/>
  <c r="G36" i="4"/>
  <c r="F31" i="4"/>
  <c r="F28" i="4"/>
  <c r="G31" i="4"/>
  <c r="H32" i="4"/>
  <c r="F38" i="4"/>
  <c r="E43" i="4"/>
  <c r="D29" i="4"/>
  <c r="E35" i="4"/>
  <c r="F32" i="4"/>
  <c r="E25" i="4"/>
  <c r="F43" i="4"/>
  <c r="E32" i="4"/>
  <c r="E40" i="4"/>
  <c r="E33" i="4"/>
  <c r="F33" i="4"/>
  <c r="D25" i="4"/>
  <c r="H38" i="4"/>
  <c r="D31" i="4"/>
  <c r="D35" i="4"/>
  <c r="H35" i="4"/>
  <c r="D40" i="4"/>
  <c r="H33" i="4"/>
  <c r="H27" i="4"/>
  <c r="E28" i="4"/>
  <c r="G35" i="4"/>
  <c r="E37" i="4" l="1"/>
  <c r="E30" i="4"/>
  <c r="D30" i="4"/>
  <c r="D37" i="4"/>
  <c r="F183" i="43"/>
  <c r="G183" i="43"/>
  <c r="H183" i="43"/>
  <c r="J183" i="43"/>
  <c r="I183" i="43"/>
  <c r="F24" i="4"/>
  <c r="G24" i="4"/>
  <c r="D24" i="4"/>
  <c r="H24" i="4"/>
  <c r="E24" i="4"/>
  <c r="G50" i="4" l="1"/>
  <c r="G57" i="4"/>
  <c r="G64" i="4"/>
  <c r="G71" i="4"/>
  <c r="G78" i="4"/>
  <c r="H50" i="4"/>
  <c r="H57" i="4"/>
  <c r="H64" i="4"/>
  <c r="H71" i="4"/>
  <c r="H78" i="4"/>
  <c r="F50" i="4"/>
  <c r="F57" i="4"/>
  <c r="F64" i="4"/>
  <c r="F71" i="4"/>
  <c r="F78" i="4"/>
  <c r="D50" i="4"/>
  <c r="D57" i="4"/>
  <c r="D64" i="4"/>
  <c r="D71" i="4"/>
  <c r="D78" i="4"/>
  <c r="E50" i="4"/>
  <c r="E57" i="4"/>
  <c r="E64" i="4"/>
  <c r="E71" i="4"/>
  <c r="E78" i="4"/>
  <c r="E23" i="4"/>
  <c r="D23" i="4"/>
  <c r="H37" i="4"/>
  <c r="H30" i="4"/>
  <c r="H23" i="4"/>
  <c r="H96" i="4" s="1"/>
  <c r="D44" i="4" l="1"/>
  <c r="D96" i="4"/>
  <c r="E44" i="4"/>
  <c r="E96" i="4"/>
  <c r="H44" i="4"/>
  <c r="G37" i="4"/>
  <c r="G30" i="4"/>
  <c r="G23" i="4"/>
  <c r="H89" i="4" l="1"/>
  <c r="H90" i="4"/>
  <c r="E89" i="4"/>
  <c r="E90" i="4"/>
  <c r="D89" i="4"/>
  <c r="D90" i="4"/>
  <c r="G96" i="4"/>
  <c r="G44" i="4"/>
  <c r="F37" i="4"/>
  <c r="F30" i="4"/>
  <c r="F23" i="4"/>
  <c r="G89" i="4" l="1"/>
  <c r="G90" i="4"/>
  <c r="H91" i="4"/>
  <c r="H95" i="4" s="1"/>
  <c r="E91" i="4"/>
  <c r="D91" i="4"/>
  <c r="F96" i="4"/>
  <c r="F44" i="4"/>
  <c r="F89" i="4" l="1"/>
  <c r="F90" i="4"/>
  <c r="G91" i="4"/>
  <c r="G95" i="4" s="1"/>
  <c r="H94" i="4"/>
  <c r="E95" i="4"/>
  <c r="E94" i="4"/>
  <c r="D95" i="4"/>
  <c r="D94" i="4"/>
  <c r="G94" i="4" l="1"/>
  <c r="F91" i="4"/>
  <c r="D97" i="4"/>
  <c r="D99" i="4" s="1"/>
  <c r="H97" i="4"/>
  <c r="H99" i="4" s="1"/>
  <c r="F95" i="4" l="1"/>
  <c r="F94" i="4"/>
  <c r="G97" i="4"/>
  <c r="G99" i="4" s="1"/>
  <c r="E97" i="4"/>
  <c r="E99" i="4" s="1"/>
  <c r="F97" i="4" l="1"/>
  <c r="F99" i="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<sst xmlns="http://schemas.openxmlformats.org/spreadsheetml/2006/main" count="3366" uniqueCount="333">
  <si>
    <t>Department of Environment, Parks and Water Security</t>
  </si>
  <si>
    <t>Environmental Security Calculator - Onshore Petroleum</t>
  </si>
  <si>
    <t>Description</t>
  </si>
  <si>
    <t>Structure and Guidance for the interest holder</t>
  </si>
  <si>
    <r>
      <t xml:space="preserve">The Calculator structure is illustrated and explained below. Please see the top of each tab for a summary description and further guidance for the interest holder.
</t>
    </r>
    <r>
      <rPr>
        <b/>
        <sz val="11"/>
        <color theme="1"/>
        <rFont val="Lato"/>
        <family val="2"/>
      </rPr>
      <t>Note the interest holder cannot change the columns of tabs as this could interrupt the automated calculations.</t>
    </r>
  </si>
  <si>
    <t>NT calc email and changes</t>
  </si>
  <si>
    <t>END</t>
  </si>
  <si>
    <t>Tab description and guidance for the interest holder</t>
  </si>
  <si>
    <r>
      <t xml:space="preserve">This tab includes two tables and one section. The interest holder only need to fill in one table (1) and the section (3). Click the (+) on the left to group/ungroup rows to shorten the tab.
</t>
    </r>
    <r>
      <rPr>
        <b/>
        <sz val="11"/>
        <color theme="1"/>
        <rFont val="Lato"/>
        <family val="2"/>
      </rPr>
      <t xml:space="preserve">1. General interest holder details </t>
    </r>
    <r>
      <rPr>
        <sz val="11"/>
        <color theme="1"/>
        <rFont val="Lato"/>
        <family val="2"/>
      </rPr>
      <t xml:space="preserve">- </t>
    </r>
    <r>
      <rPr>
        <b/>
        <sz val="11"/>
        <color theme="5"/>
        <rFont val="Lato"/>
        <family val="2"/>
      </rPr>
      <t>interest holder to fill in</t>
    </r>
    <r>
      <rPr>
        <sz val="11"/>
        <color theme="1"/>
        <rFont val="Lato"/>
        <family val="2"/>
      </rPr>
      <t xml:space="preserve">
</t>
    </r>
    <r>
      <rPr>
        <b/>
        <sz val="11"/>
        <color theme="1"/>
        <rFont val="Lato"/>
        <family val="2"/>
      </rPr>
      <t>2. Calculation of annual security value</t>
    </r>
    <r>
      <rPr>
        <sz val="11"/>
        <color theme="1"/>
        <rFont val="Lato"/>
        <family val="2"/>
      </rPr>
      <t xml:space="preserve"> - set to be automatically populated, no action required by the interest holder. This is based on interest holder inputs in the relevant Title_0X tabs.
</t>
    </r>
    <r>
      <rPr>
        <b/>
        <sz val="11"/>
        <color theme="1"/>
        <rFont val="Lato"/>
        <family val="2"/>
      </rPr>
      <t>3. Declaration and date</t>
    </r>
    <r>
      <rPr>
        <sz val="11"/>
        <color theme="1"/>
        <rFont val="Lato"/>
        <family val="2"/>
      </rPr>
      <t xml:space="preserve"> - </t>
    </r>
    <r>
      <rPr>
        <b/>
        <sz val="11"/>
        <color theme="5"/>
        <rFont val="Lato"/>
        <family val="2"/>
      </rPr>
      <t>interest holder to fill in</t>
    </r>
    <r>
      <rPr>
        <sz val="11"/>
        <color theme="1"/>
        <rFont val="Lato"/>
        <family val="2"/>
      </rPr>
      <t xml:space="preserve">
Table 2 includes descriptions that steps through the calculation row by row.</t>
    </r>
  </si>
  <si>
    <t>Table 1. General interest holder details</t>
  </si>
  <si>
    <t>Name of Environmental Management Plan</t>
  </si>
  <si>
    <t>EMP reference (Unique EMP no.)</t>
  </si>
  <si>
    <t>Location (e.g. Beetaloo, Amadeus)</t>
  </si>
  <si>
    <t>Interest holder contact (name)</t>
  </si>
  <si>
    <t>Date</t>
  </si>
  <si>
    <t>Table 2. Calculation of annual security value</t>
  </si>
  <si>
    <t>Title</t>
  </si>
  <si>
    <t>Financial
Year 1</t>
  </si>
  <si>
    <t>Financial 
Year 2</t>
  </si>
  <si>
    <t>Financial
Year 3</t>
  </si>
  <si>
    <t>Financial
Year 4</t>
  </si>
  <si>
    <t>Financial
Year 5</t>
  </si>
  <si>
    <t>Activity type</t>
  </si>
  <si>
    <t>Rehabilitation activities</t>
  </si>
  <si>
    <t>Total cost of rehabilitation activities across all Titles, calculated as a sum of the rows below.</t>
  </si>
  <si>
    <t>Title_01</t>
  </si>
  <si>
    <t>Cost of rehabilitation activities specific to Title_0X, calculated in the relevant tab(s).</t>
  </si>
  <si>
    <t>Title_02</t>
  </si>
  <si>
    <t>Title_03</t>
  </si>
  <si>
    <t>Title_04</t>
  </si>
  <si>
    <t>Title_05</t>
  </si>
  <si>
    <t>Title_06</t>
  </si>
  <si>
    <t>Infrastructure removal</t>
  </si>
  <si>
    <t>Total cost of infrastructure removal across all Titles, calculated as a sum of the rows below.</t>
  </si>
  <si>
    <t>Cost of infrastructure removal specific to Title_0X, calculated in the relevant tab(s).</t>
  </si>
  <si>
    <t>Waste disposal</t>
  </si>
  <si>
    <t>Total cost of waste disposal across all Titles, calculated as a sum of the rows below.</t>
  </si>
  <si>
    <t>Cost of waste disposal specific to Title_0X, calculated in the relevant tab(s).</t>
  </si>
  <si>
    <t>Sub-total of activities</t>
  </si>
  <si>
    <t>Sub-total of rehabilitation activities, infrastructure removal and waste disposal.</t>
  </si>
  <si>
    <t>Maximum distance to regional centres</t>
  </si>
  <si>
    <t>Maximum distance (e.g. 90km) to regional centres across all Titles.</t>
  </si>
  <si>
    <t>Maximum distance category</t>
  </si>
  <si>
    <t>Maximum distance category (e.g. "&lt;100km") to regional centres across all Titles.</t>
  </si>
  <si>
    <t>Total including mobilisation/demobilisation</t>
  </si>
  <si>
    <t>Project management (10%)</t>
  </si>
  <si>
    <t>Maintenance and monitoring (20%)</t>
  </si>
  <si>
    <t>Maintenance and monitoring (20%) applied to rehabilitation activities.</t>
  </si>
  <si>
    <t>Annual security value</t>
  </si>
  <si>
    <t>[insert signature here]</t>
  </si>
  <si>
    <t>Name</t>
  </si>
  <si>
    <t>Table 1. Standardised units and values</t>
  </si>
  <si>
    <t>Disturbance activity</t>
  </si>
  <si>
    <t>Characteristic</t>
  </si>
  <si>
    <t>Category</t>
  </si>
  <si>
    <t>Unit</t>
  </si>
  <si>
    <t>Unit Rate</t>
  </si>
  <si>
    <t>Notes</t>
  </si>
  <si>
    <t>Working area - to be hidden</t>
  </si>
  <si>
    <t>Seismic</t>
  </si>
  <si>
    <t>Unique identifier</t>
  </si>
  <si>
    <t>Count</t>
  </si>
  <si>
    <t>Seismic lines</t>
  </si>
  <si>
    <t>Area cleared - track type</t>
  </si>
  <si>
    <t>ha</t>
  </si>
  <si>
    <t>Land clearing</t>
  </si>
  <si>
    <t>Access track (existing)</t>
  </si>
  <si>
    <t>Area of pre-existing tracks - track type</t>
  </si>
  <si>
    <t>Access track (new)</t>
  </si>
  <si>
    <t>Gravel pits</t>
  </si>
  <si>
    <t>-</t>
  </si>
  <si>
    <r>
      <t>m</t>
    </r>
    <r>
      <rPr>
        <vertAlign val="superscript"/>
        <sz val="11"/>
        <rFont val="Lato"/>
        <family val="2"/>
      </rPr>
      <t>3</t>
    </r>
  </si>
  <si>
    <t>Well pad</t>
  </si>
  <si>
    <t>Area cleared</t>
  </si>
  <si>
    <r>
      <rPr>
        <u/>
        <sz val="10"/>
        <rFont val="Lato"/>
        <family val="2"/>
      </rPr>
      <t>Note</t>
    </r>
    <r>
      <rPr>
        <sz val="10"/>
        <rFont val="Lato"/>
        <family val="2"/>
      </rPr>
      <t xml:space="preserve">: Allows for rehabilitation of heavily compacted access tracks. 
</t>
    </r>
    <r>
      <rPr>
        <u/>
        <sz val="10"/>
        <rFont val="Lato"/>
        <family val="2"/>
      </rPr>
      <t>Includes</t>
    </r>
    <r>
      <rPr>
        <sz val="10"/>
        <rFont val="Lato"/>
        <family val="2"/>
      </rPr>
      <t xml:space="preserve">: deep ripping, shaping/grading, seeding and weed management of the affected areas.
</t>
    </r>
    <r>
      <rPr>
        <u/>
        <sz val="10"/>
        <rFont val="Lato"/>
        <family val="2"/>
      </rPr>
      <t>Assumption per hectare</t>
    </r>
    <r>
      <rPr>
        <sz val="10"/>
        <rFont val="Lato"/>
        <family val="2"/>
      </rPr>
      <t>: deep ripping $2,118; shaping and respreading $1,670; weed management $1,188; seeding $809.</t>
    </r>
  </si>
  <si>
    <t>Camp</t>
  </si>
  <si>
    <t>Miscellaneous clearing</t>
  </si>
  <si>
    <t>Fencing</t>
  </si>
  <si>
    <t>Length of fencing in scope</t>
  </si>
  <si>
    <t>m</t>
  </si>
  <si>
    <t>Groundwater bore &lt; 70m TVD</t>
  </si>
  <si>
    <t>Number of bores</t>
  </si>
  <si>
    <t>#</t>
  </si>
  <si>
    <t>Groundwater bore ≥ 70m TVD</t>
  </si>
  <si>
    <t>Drill sump liners</t>
  </si>
  <si>
    <t>Number</t>
  </si>
  <si>
    <t>Drill sump</t>
  </si>
  <si>
    <t>Volume</t>
  </si>
  <si>
    <t>Flare pit</t>
  </si>
  <si>
    <t>Wastewater tank</t>
  </si>
  <si>
    <t>Wastewater treatment plant (camp)</t>
  </si>
  <si>
    <t>Capacity</t>
  </si>
  <si>
    <t>Turkey's nest</t>
  </si>
  <si>
    <t>Camp capacity</t>
  </si>
  <si>
    <t>Camp size</t>
  </si>
  <si>
    <t>&lt;20 people</t>
  </si>
  <si>
    <t>$/camp size</t>
  </si>
  <si>
    <r>
      <rPr>
        <u/>
        <sz val="10"/>
        <rFont val="Lato"/>
        <family val="2"/>
      </rPr>
      <t>Includes</t>
    </r>
    <r>
      <rPr>
        <sz val="10"/>
        <rFont val="Lato"/>
        <family val="2"/>
      </rPr>
      <t xml:space="preserve">: Deconstruction and removal of camp.
</t>
    </r>
    <r>
      <rPr>
        <u/>
        <sz val="10"/>
        <rFont val="Lato"/>
        <family val="2"/>
      </rPr>
      <t>Assumption</t>
    </r>
    <r>
      <rPr>
        <sz val="10"/>
        <rFont val="Lato"/>
        <family val="2"/>
      </rPr>
      <t>: &lt;20 people: $45K; 21-50 people: $65K; 51-100 people: $95K; 101-150 people: $140K; 151-200 people: $170K.</t>
    </r>
  </si>
  <si>
    <t>21-50 people</t>
  </si>
  <si>
    <t>51-100 people</t>
  </si>
  <si>
    <t>101-150 people</t>
  </si>
  <si>
    <t>151-200 people</t>
  </si>
  <si>
    <t>Flowlines / pipelines</t>
  </si>
  <si>
    <t>Length</t>
  </si>
  <si>
    <t xml:space="preserve">Contaminated soil testing </t>
  </si>
  <si>
    <t>General waste</t>
  </si>
  <si>
    <t>Domestic waste and litter</t>
  </si>
  <si>
    <t>tonne</t>
  </si>
  <si>
    <r>
      <t xml:space="preserve">Includes: </t>
    </r>
    <r>
      <rPr>
        <sz val="10"/>
        <rFont val="Lato"/>
        <family val="2"/>
      </rPr>
      <t>Disposal at licenced facility.</t>
    </r>
    <r>
      <rPr>
        <u/>
        <sz val="10"/>
        <rFont val="Lato"/>
        <family val="2"/>
      </rPr>
      <t xml:space="preserve">
Assumption: </t>
    </r>
    <r>
      <rPr>
        <sz val="10"/>
        <rFont val="Lato"/>
        <family val="2"/>
      </rPr>
      <t>Disposal costs is ~$150 per tonne.</t>
    </r>
  </si>
  <si>
    <t>Listed waste</t>
  </si>
  <si>
    <t>Listed waste e.g. tyres, batteries, contaminated soil</t>
  </si>
  <si>
    <r>
      <rPr>
        <u/>
        <sz val="10"/>
        <rFont val="Lato"/>
        <family val="2"/>
      </rPr>
      <t>Includes</t>
    </r>
    <r>
      <rPr>
        <sz val="10"/>
        <rFont val="Lato"/>
        <family val="2"/>
      </rPr>
      <t xml:space="preserve">: Disposal at licenced facility.
</t>
    </r>
    <r>
      <rPr>
        <u/>
        <sz val="10"/>
        <rFont val="Lato"/>
        <family val="2"/>
      </rPr>
      <t>Assumption</t>
    </r>
    <r>
      <rPr>
        <sz val="10"/>
        <rFont val="Lato"/>
        <family val="2"/>
      </rPr>
      <t>: Disposal cost is ~$140 - $1,100 per tonne.</t>
    </r>
  </si>
  <si>
    <t xml:space="preserve">Chemical waste </t>
  </si>
  <si>
    <t>Residual chemicals and chemical drums</t>
  </si>
  <si>
    <t>Transport</t>
  </si>
  <si>
    <t>per tanker required</t>
  </si>
  <si>
    <t>per tanker/km</t>
  </si>
  <si>
    <t>Disposal of wastewater and drilling muds</t>
  </si>
  <si>
    <t>Expected total dissolved solids</t>
  </si>
  <si>
    <t>0-30g/L - Westrex Facility</t>
  </si>
  <si>
    <t>$/L</t>
  </si>
  <si>
    <t>30-50g/L - Westrex Facility</t>
  </si>
  <si>
    <t>50-100g/L - Westrex Facility</t>
  </si>
  <si>
    <t>100-150g/L - Westrex Facility</t>
  </si>
  <si>
    <t>150-200g/L - Westrex Facility</t>
  </si>
  <si>
    <t>0-30g/L - HydrEra Facility</t>
  </si>
  <si>
    <t>30-50g/L - HydrEra Facility</t>
  </si>
  <si>
    <t>50-100g/L - HydrEra Facility</t>
  </si>
  <si>
    <t>100-150g/L - HydrEra Facility</t>
  </si>
  <si>
    <t>150-200g/L - HydrEra Facility</t>
  </si>
  <si>
    <t>Liners</t>
  </si>
  <si>
    <t>Number of liners used</t>
  </si>
  <si>
    <t>Well pad materials</t>
  </si>
  <si>
    <r>
      <t>m</t>
    </r>
    <r>
      <rPr>
        <vertAlign val="superscript"/>
        <sz val="11"/>
        <color theme="1"/>
        <rFont val="Lato"/>
        <family val="2"/>
      </rPr>
      <t>3</t>
    </r>
  </si>
  <si>
    <t>CHECK the number of units in this table</t>
  </si>
  <si>
    <t>&lt;100km</t>
  </si>
  <si>
    <t>km</t>
  </si>
  <si>
    <t>100-249km</t>
  </si>
  <si>
    <t>250-499km</t>
  </si>
  <si>
    <t>&gt;500km</t>
  </si>
  <si>
    <t>This tab is deliberately left blank.</t>
  </si>
  <si>
    <r>
      <t xml:space="preserve">This tab includes five tables. The structure of all tables are aligned to the structure of tab: Unit Rates (i.e. by disturbance activity and category) and references the standard unit rates there. The interest holder only needs to fill in two tables (1.1 and 1.2). Click the (+) on the left to group/ungroup rows to shorten the tab.
</t>
    </r>
    <r>
      <rPr>
        <b/>
        <sz val="11"/>
        <color theme="1"/>
        <rFont val="Lato"/>
        <family val="2"/>
      </rPr>
      <t>1. General Title details</t>
    </r>
    <r>
      <rPr>
        <sz val="11"/>
        <color theme="1"/>
        <rFont val="Lato"/>
        <family val="2"/>
      </rPr>
      <t xml:space="preserve"> -</t>
    </r>
    <r>
      <rPr>
        <b/>
        <sz val="11"/>
        <color theme="5"/>
        <rFont val="Lato"/>
        <family val="2"/>
      </rPr>
      <t xml:space="preserve"> interest holder to fill in</t>
    </r>
    <r>
      <rPr>
        <sz val="11"/>
        <color theme="1"/>
        <rFont val="Lato"/>
        <family val="2"/>
      </rPr>
      <t xml:space="preserve">
</t>
    </r>
    <r>
      <rPr>
        <b/>
        <sz val="11"/>
        <color theme="1"/>
        <rFont val="Lato"/>
        <family val="2"/>
      </rPr>
      <t>2. EMP details with activities by category and units</t>
    </r>
    <r>
      <rPr>
        <sz val="11"/>
        <color theme="1"/>
        <rFont val="Lato"/>
        <family val="2"/>
      </rPr>
      <t xml:space="preserve"> - </t>
    </r>
    <r>
      <rPr>
        <b/>
        <sz val="11"/>
        <color theme="5"/>
        <rFont val="Lato"/>
        <family val="2"/>
      </rPr>
      <t xml:space="preserve">interest holder to fill in </t>
    </r>
    <r>
      <rPr>
        <sz val="11"/>
        <rFont val="Lato"/>
        <family val="2"/>
      </rPr>
      <t xml:space="preserve">the grey cell with orange text
</t>
    </r>
    <r>
      <rPr>
        <b/>
        <sz val="11"/>
        <color theme="1"/>
        <rFont val="Lato"/>
        <family val="2"/>
      </rPr>
      <t>3. Summary of units used to calculate the security value by disturbance activity</t>
    </r>
    <r>
      <rPr>
        <sz val="11"/>
        <color theme="1"/>
        <rFont val="Lato"/>
        <family val="2"/>
      </rPr>
      <t xml:space="preserve"> - will be automatically populated based on table 1.2, no action required by the interest holder
</t>
    </r>
    <r>
      <rPr>
        <b/>
        <sz val="11"/>
        <color theme="1"/>
        <rFont val="Lato"/>
        <family val="2"/>
      </rPr>
      <t>4. Summary of security value by disturbance activity</t>
    </r>
    <r>
      <rPr>
        <sz val="11"/>
        <color theme="1"/>
        <rFont val="Lato"/>
        <family val="2"/>
      </rPr>
      <t xml:space="preserve"> - will be automatically populated based on table 1.3, no action required by interest holder
Table 1.1 General Title details includes two notes (see right). Table 1.2 EMP details is organised into four sub-tables: Sub-Table 1.2.1 Rehabilitation activities, 1.2.2 Infrastructure retained, 1.2.3 Infrastructure removal, 1.2.4 Waste disposal. This table includes three notes - one note is applicable to Table 1.2.3 and two notes are applicable to Sub-Table 1.2.2 Infrastructure retained (see below).</t>
    </r>
  </si>
  <si>
    <t>General details</t>
  </si>
  <si>
    <t>Name of disposal facility</t>
  </si>
  <si>
    <t>Evidence for the disposal facility (note 2)</t>
  </si>
  <si>
    <t>Note 1: Distance from activity to closest regional centre (Darwin, Alice Springs, Katherine)</t>
  </si>
  <si>
    <t>Note 2: Evidence that the disposal facility can receive wastewater can be a link to the facility’s licence or submitted separately to the Department.</t>
  </si>
  <si>
    <t xml:space="preserve">Note 3: For each relevant unit, enter values for each financial year. Note that some rehabilitation activities have numerous categories. Use the UNIT RATES tab to determine which category is most reflective of the rehabilitation activity. For example, choose the appropriate form(s) of seismic lines (e.g. Native, Track, Earthen) and enter the length and width of the seismic lines. The hectare value will automatically calculate. </t>
  </si>
  <si>
    <t>Note 4: The interest holder should fill in the infrastructure retained sub-table if there is any infrastructure proposed to be retained and handed over to the landholder at the completion of the regulated activity. This sub-table does not inform the annual security value. Similarly, the interest holder should fill in the infrastructure removal sub-table, excluding the values in the infrastructure retained sub-table.</t>
  </si>
  <si>
    <t>Note 5: Evidence for infrastructure retention (e.g., letter from landowner confirming the specific infrastructure will be retained) need to be submitted separately to the Department.</t>
  </si>
  <si>
    <t>Financial
Year 2</t>
  </si>
  <si>
    <t>Interest holder notes</t>
  </si>
  <si>
    <t>Area cleared for seismic lines</t>
  </si>
  <si>
    <t>Width</t>
  </si>
  <si>
    <t>Area of pre-existing tracks utilised</t>
  </si>
  <si>
    <t xml:space="preserve">Area </t>
  </si>
  <si>
    <t>Area cleared for new access tracks</t>
  </si>
  <si>
    <t>Depth</t>
  </si>
  <si>
    <t>(Average) area cleared for well pads</t>
  </si>
  <si>
    <t>Additional cleared areas, e.g. for water bores, laydown areas, flowlines</t>
  </si>
  <si>
    <t>Number of bores &lt;70m true vertical depth to be retained</t>
  </si>
  <si>
    <r>
      <t xml:space="preserve">Number of bores </t>
    </r>
    <r>
      <rPr>
        <u/>
        <sz val="11"/>
        <color theme="1"/>
        <rFont val="Lato"/>
        <family val="2"/>
      </rPr>
      <t>&gt;</t>
    </r>
    <r>
      <rPr>
        <sz val="11"/>
        <color theme="1"/>
        <rFont val="Lato"/>
        <family val="2"/>
      </rPr>
      <t xml:space="preserve"> 70 m true vertical depth to be retained</t>
    </r>
  </si>
  <si>
    <t>Area</t>
  </si>
  <si>
    <t>Area of access tracks to be retained, interest holder to include in notes which category of access track (e.g. new, native - laydown, earthen) is applicable, more rows can be added if required.</t>
  </si>
  <si>
    <t>(Average) size of turkey's nests to be retained</t>
  </si>
  <si>
    <t>Number of bores &lt;70m true vertical depth</t>
  </si>
  <si>
    <r>
      <t xml:space="preserve">Number of bores </t>
    </r>
    <r>
      <rPr>
        <u/>
        <sz val="11"/>
        <color theme="1"/>
        <rFont val="Lato"/>
        <family val="2"/>
      </rPr>
      <t>&gt;</t>
    </r>
    <r>
      <rPr>
        <sz val="11"/>
        <color theme="1"/>
        <rFont val="Lato"/>
        <family val="2"/>
      </rPr>
      <t xml:space="preserve"> 70 m true vertical depth</t>
    </r>
  </si>
  <si>
    <t>Number of drill sump liners in scope</t>
  </si>
  <si>
    <t>(Average) size of drill sump volume to be used</t>
  </si>
  <si>
    <t>m3</t>
  </si>
  <si>
    <t>(Average) size of flare pits in operation to be used</t>
  </si>
  <si>
    <t>Number of wastewater storage tanks in scope</t>
  </si>
  <si>
    <t>people</t>
  </si>
  <si>
    <t>(Average) size of turkey's nests to be used</t>
  </si>
  <si>
    <t>Length of flowlines and/or pipelines in scope</t>
  </si>
  <si>
    <t>Systematic soil testing of well pad for contamination</t>
  </si>
  <si>
    <t>Weight</t>
  </si>
  <si>
    <t>tonnes</t>
  </si>
  <si>
    <t>Listed waste, e.g. tyres, batteries, contaminated soil</t>
  </si>
  <si>
    <t>Hydraulic Fracking Fluid</t>
  </si>
  <si>
    <t>Total volume of hydraulic fracking fluid to be used</t>
  </si>
  <si>
    <t>ML</t>
  </si>
  <si>
    <t>The total volume of hydraulic fracking fluids that will be used to hydraulically fracture a well.</t>
  </si>
  <si>
    <t>Percentage expected to return to the surface (flowback fluid)</t>
  </si>
  <si>
    <t>Percentage</t>
  </si>
  <si>
    <t>%</t>
  </si>
  <si>
    <t>After a hydraulic fracture is complete, a large amount of water known as flowback fluid will return to the surface for a period of approximately 90 days. Enter the expected proportion of fracking fluid expected to return to the surface, in percentage.</t>
  </si>
  <si>
    <t>Evaporation rate expected</t>
  </si>
  <si>
    <t>Once at the surface and stored in a wastewater tank, what is the expected proportion that will be evaporated, in percentage.</t>
  </si>
  <si>
    <t>Volume to be disposed</t>
  </si>
  <si>
    <t>This is the volume to be disposed of. Auto calculated based on the figures entered above.</t>
  </si>
  <si>
    <t>Range</t>
  </si>
  <si>
    <t>1 = 0-30g/L
2 = 30-50g/L
3 = 50-100g/L
4 = 100-150g/L
5 = 150-200g/L</t>
  </si>
  <si>
    <t>What is the expected quality of this water, expressed in total dissolved fluids (TDS). Select the number that represents the expected range from the key in the adjacent column.</t>
  </si>
  <si>
    <t>Produced water (formation water)</t>
  </si>
  <si>
    <t>Expected volume of produced water</t>
  </si>
  <si>
    <t xml:space="preserve">As the flow rate begins to reduce, the flowback period ends and produced water commences flow. This type of returning water is known as "formation water" and it resembles the original formation water present in the shale layer. What is the expected volume of produced water/formation water expected express at the surface. </t>
  </si>
  <si>
    <t>Other Wastewater</t>
  </si>
  <si>
    <t>Expected volume of other wastewater</t>
  </si>
  <si>
    <t>Are there any other wastewater sources on site, such as stormwater sumps from potentially contaminated areas.</t>
  </si>
  <si>
    <t>While stored in a wastewater tank, what is the expected proportion that will be evaporated, in percentage.</t>
  </si>
  <si>
    <t>Drilling Muds and Cuttings</t>
  </si>
  <si>
    <t>What is the expected proportion that will be evaporated, in percentage.</t>
  </si>
  <si>
    <t>What is the expected quality of the drilling muds, expressed in total dissolved fluids (TDS). Select the number that represents the expected range from the key in the adjacent column.</t>
  </si>
  <si>
    <t>Number of liners used for wastewater tanks, pits and bunded areas.</t>
  </si>
  <si>
    <t>Volume of fill used for well pas construction. This will be removed from the site as part of remediation.</t>
  </si>
  <si>
    <t>CHECK the number of units in table 1</t>
  </si>
  <si>
    <t>Disturbance activity by category</t>
  </si>
  <si>
    <t>CHECK the number of units in table 3</t>
  </si>
  <si>
    <t>Unit rate</t>
  </si>
  <si>
    <t>see Unit Rates tab</t>
  </si>
  <si>
    <t>0-30g/L</t>
  </si>
  <si>
    <t>30-50g/L</t>
  </si>
  <si>
    <t>50-100g/L</t>
  </si>
  <si>
    <t>100-150g/L</t>
  </si>
  <si>
    <t>150-200g/L</t>
  </si>
  <si>
    <t>FY1</t>
  </si>
  <si>
    <t>FY2</t>
  </si>
  <si>
    <t>FY3</t>
  </si>
  <si>
    <t>FY4</t>
  </si>
  <si>
    <t>FY5</t>
  </si>
  <si>
    <t>Transport of solid waste, waste water, drilling muds and well pad materials</t>
  </si>
  <si>
    <r>
      <t>m</t>
    </r>
    <r>
      <rPr>
        <vertAlign val="superscript"/>
        <sz val="11"/>
        <color theme="1"/>
        <rFont val="Lato"/>
        <family val="2"/>
      </rPr>
      <t>2</t>
    </r>
  </si>
  <si>
    <t>Laydown areas</t>
  </si>
  <si>
    <t>With seeding, no ripping</t>
  </si>
  <si>
    <t>With seeding, with ripping</t>
  </si>
  <si>
    <t>No seeding, with ripping</t>
  </si>
  <si>
    <t>No seeding, no ripping</t>
  </si>
  <si>
    <t>Area cleared for laydowns</t>
  </si>
  <si>
    <t>Disturbance Activity</t>
  </si>
  <si>
    <t>See above.</t>
  </si>
  <si>
    <r>
      <t>Includes:</t>
    </r>
    <r>
      <rPr>
        <sz val="10"/>
        <rFont val="Lato"/>
        <family val="2"/>
      </rPr>
      <t xml:space="preserve"> Disposal at licenced facility.</t>
    </r>
    <r>
      <rPr>
        <u/>
        <sz val="10"/>
        <rFont val="Lato"/>
        <family val="2"/>
      </rPr>
      <t xml:space="preserve">
Assumption:</t>
    </r>
    <r>
      <rPr>
        <sz val="10"/>
        <rFont val="Lato"/>
        <family val="2"/>
      </rPr>
      <t xml:space="preserve"> Disposal costs is ~$500 per tonne.
</t>
    </r>
  </si>
  <si>
    <r>
      <t>Includes:</t>
    </r>
    <r>
      <rPr>
        <sz val="10"/>
        <color theme="1"/>
        <rFont val="Lato"/>
        <family val="2"/>
      </rPr>
      <t xml:space="preserve"> Transport waste off site. </t>
    </r>
    <r>
      <rPr>
        <u/>
        <sz val="10"/>
        <color theme="1"/>
        <rFont val="Lato"/>
        <family val="2"/>
      </rPr>
      <t xml:space="preserve">
Assumption:</t>
    </r>
    <r>
      <rPr>
        <sz val="10"/>
        <color theme="1"/>
        <rFont val="Lato"/>
        <family val="2"/>
      </rPr>
      <t xml:space="preserve"> Transport cost of $5 per km for </t>
    </r>
    <r>
      <rPr>
        <b/>
        <sz val="10"/>
        <color theme="1"/>
        <rFont val="Lato"/>
        <family val="2"/>
      </rPr>
      <t>each</t>
    </r>
    <r>
      <rPr>
        <sz val="10"/>
        <color theme="1"/>
        <rFont val="Lato"/>
        <family val="2"/>
      </rPr>
      <t xml:space="preserve"> 55 tonne tanker required = ~46 m3/0.055ML. $200/hr load/unload of vacuum tanker, 6 hours per 55 tonne tanker = 130 hr per ML = $26,000 per ML. (transport) Number of 46m3 trucks * $5 * km to nominated disposal facility (in the General details section).</t>
    </r>
  </si>
  <si>
    <r>
      <rPr>
        <u/>
        <sz val="10"/>
        <color theme="1"/>
        <rFont val="Lato"/>
        <family val="2"/>
      </rPr>
      <t>Includes:</t>
    </r>
    <r>
      <rPr>
        <sz val="10"/>
        <color theme="1"/>
        <rFont val="Lato"/>
        <family val="2"/>
      </rPr>
      <t xml:space="preserve"> Disposal of wastewater includes hydraulic fracking fluid, produced water (formation water), drilling muds and other wastewater at licenced facility. Facility nominated in item 26. If facility is not Westrex or HydrEra, interest holder will have to provide the facilities disposal rates.
</t>
    </r>
    <r>
      <rPr>
        <u/>
        <sz val="10"/>
        <color theme="1"/>
        <rFont val="Lato"/>
        <family val="2"/>
      </rPr>
      <t>Assumption:</t>
    </r>
    <r>
      <rPr>
        <sz val="10"/>
        <color theme="1"/>
        <rFont val="Lato"/>
        <family val="2"/>
      </rPr>
      <t xml:space="preserve"> Disposal cost (load/unload) Unit * (1 - evaporation rate) /1,000*$26,000 + (disposal) Unit *  (1 - evaporation rate) / 1,000 * disposal rate associated with TDS.</t>
    </r>
  </si>
  <si>
    <t>With seeding</t>
  </si>
  <si>
    <t>No seeding</t>
  </si>
  <si>
    <r>
      <rPr>
        <u/>
        <sz val="10"/>
        <rFont val="Lato"/>
        <family val="2"/>
      </rPr>
      <t>Note</t>
    </r>
    <r>
      <rPr>
        <sz val="10"/>
        <rFont val="Lato"/>
        <family val="2"/>
      </rPr>
      <t xml:space="preserve">: Removal only (disposal is under waste disposal).
</t>
    </r>
    <r>
      <rPr>
        <u/>
        <sz val="10"/>
        <rFont val="Lato"/>
        <family val="2"/>
      </rPr>
      <t>Includes</t>
    </r>
    <r>
      <rPr>
        <sz val="10"/>
        <rFont val="Lato"/>
        <family val="2"/>
      </rPr>
      <t xml:space="preserve">: labour and excavator, site vehicle. 1 day required per liner. 
</t>
    </r>
    <r>
      <rPr>
        <u/>
        <sz val="10"/>
        <rFont val="Lato"/>
        <family val="2"/>
      </rPr>
      <t>Assumption per drill sump:</t>
    </r>
    <r>
      <rPr>
        <sz val="10"/>
        <rFont val="Lato"/>
        <family val="2"/>
      </rPr>
      <t xml:space="preserve"> excavator $2,500; labour $2,300; site vehicle $250.</t>
    </r>
  </si>
  <si>
    <t>Table 3: Infrastructure Retained</t>
  </si>
  <si>
    <t>Total length of fencing to be retained, calculated as a sum of the rows below.</t>
  </si>
  <si>
    <t>Total number of groundwater bores &lt; 70m TVD to be retained, calculated as a sum of the rows below.</t>
  </si>
  <si>
    <t>Length of fencing to be retained specific to Title_0X, calculated in the relevant tab(s).</t>
  </si>
  <si>
    <t>Number of groundwater bores &lt; 70m TVD to be retained specific to Title_0X, calculated in the relevant tab(s).</t>
  </si>
  <si>
    <t>Total number of groundwater bores ≥ 70m TVD to be retained, calculated as a sum of the rows below.</t>
  </si>
  <si>
    <t>Number of groundwater bores ≥ 70m TVD to be retained specific to Title_0X, calculated in the relevant tab(s).</t>
  </si>
  <si>
    <t>Total length of access tracks to be retained, calculated as a sum of the rows below.</t>
  </si>
  <si>
    <t>Length of access tracks to be retained specific to Title_0X, calculated in the relevant tab(s).</t>
  </si>
  <si>
    <t>Total number of turkey's nests to be retained, calculated as a sum of the rows below.</t>
  </si>
  <si>
    <t>Number of turkey's nests to be retained specific to Title_0X, calculated in the relevant tab(s).</t>
  </si>
  <si>
    <t>Section 4. Declaration and date</t>
  </si>
  <si>
    <r>
      <rPr>
        <u/>
        <sz val="10"/>
        <rFont val="Lato"/>
        <family val="2"/>
      </rPr>
      <t>Includes</t>
    </r>
    <r>
      <rPr>
        <sz val="10"/>
        <rFont val="Lato"/>
        <family val="2"/>
      </rPr>
      <t xml:space="preserve">: removal of temporary fencing.
</t>
    </r>
    <r>
      <rPr>
        <u/>
        <sz val="10"/>
        <rFont val="Lato"/>
        <family val="2"/>
      </rPr>
      <t xml:space="preserve">Assumption per metre: </t>
    </r>
    <r>
      <rPr>
        <sz val="10"/>
        <rFont val="Lato"/>
        <family val="2"/>
      </rPr>
      <t>labour $2.30; site vehicle $0.25.
interest holder to adjust the units (in Title_0X tabs) if a length of fence will be retained.</t>
    </r>
  </si>
  <si>
    <r>
      <rPr>
        <u/>
        <sz val="10"/>
        <rFont val="Lato"/>
        <family val="2"/>
      </rPr>
      <t xml:space="preserve">Note: </t>
    </r>
    <r>
      <rPr>
        <sz val="10"/>
        <rFont val="Lato"/>
        <family val="2"/>
      </rPr>
      <t xml:space="preserve">Seismic lines are traversed only a handful of times. 
</t>
    </r>
    <r>
      <rPr>
        <u/>
        <sz val="10"/>
        <rFont val="Lato"/>
        <family val="2"/>
      </rPr>
      <t xml:space="preserve">Includes: </t>
    </r>
    <r>
      <rPr>
        <sz val="10"/>
        <rFont val="Lato"/>
        <family val="2"/>
      </rPr>
      <t xml:space="preserve">Posi-trak and operator. Assumed a 5m wide blade width. 
</t>
    </r>
    <r>
      <rPr>
        <u/>
        <sz val="10"/>
        <rFont val="Lato"/>
        <family val="2"/>
      </rPr>
      <t xml:space="preserve">Assumption per hectare: </t>
    </r>
    <r>
      <rPr>
        <sz val="10"/>
        <rFont val="Lato"/>
        <family val="2"/>
      </rPr>
      <t>Posi-trak $752; operator $800.</t>
    </r>
  </si>
  <si>
    <r>
      <t xml:space="preserve">Mobilisation $ for &lt;100 km distance to regional centre. </t>
    </r>
    <r>
      <rPr>
        <u/>
        <sz val="10"/>
        <rFont val="Lato"/>
        <family val="2"/>
      </rPr>
      <t>Includes</t>
    </r>
    <r>
      <rPr>
        <sz val="10"/>
        <rFont val="Lato"/>
        <family val="2"/>
      </rPr>
      <t>: Cost of grader, excavator, dozer, roller and labour (adjusted for distance)</t>
    </r>
  </si>
  <si>
    <t>Mobilisation ($) applied based on maximum distance to regional centres across all Titles.</t>
  </si>
  <si>
    <t>Flowline right of ways</t>
  </si>
  <si>
    <t>By track</t>
  </si>
  <si>
    <t>Not by track</t>
  </si>
  <si>
    <r>
      <rPr>
        <u/>
        <sz val="10"/>
        <rFont val="Lato"/>
        <family val="2"/>
      </rPr>
      <t>Note:</t>
    </r>
    <r>
      <rPr>
        <sz val="10"/>
        <rFont val="Lato"/>
        <family val="2"/>
      </rPr>
      <t xml:space="preserve"> as above.
</t>
    </r>
    <r>
      <rPr>
        <u/>
        <sz val="10"/>
        <rFont val="Lato"/>
        <family val="2"/>
      </rPr>
      <t>Includes:</t>
    </r>
    <r>
      <rPr>
        <sz val="10"/>
        <rFont val="Lato"/>
        <family val="2"/>
      </rPr>
      <t xml:space="preserve"> track removal, shaping/grading of the affected areas. 
</t>
    </r>
    <r>
      <rPr>
        <u/>
        <sz val="10"/>
        <rFont val="Lato"/>
        <family val="2"/>
      </rPr>
      <t>Assumption per hectare:</t>
    </r>
    <r>
      <rPr>
        <sz val="10"/>
        <rFont val="Lato"/>
        <family val="2"/>
      </rPr>
      <t xml:space="preserve"> 1. grader $833; 20-tonne excavator $833; accommodation and meals $250; labour $900; 2. ute mounted sprayer $125; labour $150; accommodation and meals $42
interest holder to adjust the units (in Title_0X tabs) if a portion of access track will be retained.</t>
    </r>
  </si>
  <si>
    <r>
      <rPr>
        <u/>
        <sz val="10"/>
        <rFont val="Lato"/>
        <family val="2"/>
      </rPr>
      <t xml:space="preserve">Note: </t>
    </r>
    <r>
      <rPr>
        <sz val="10"/>
        <rFont val="Lato"/>
        <family val="2"/>
      </rPr>
      <t xml:space="preserve">No rehabilitation - maintenance to return to safe conditions.
</t>
    </r>
    <r>
      <rPr>
        <u/>
        <sz val="10"/>
        <rFont val="Lato"/>
        <family val="2"/>
      </rPr>
      <t>Includes:</t>
    </r>
    <r>
      <rPr>
        <sz val="10"/>
        <rFont val="Lato"/>
        <family val="2"/>
      </rPr>
      <t xml:space="preserve"> light ripping and levelling, shaping and respreading, weed management, seeding. 
</t>
    </r>
    <r>
      <rPr>
        <u/>
        <sz val="10"/>
        <rFont val="Lato"/>
        <family val="2"/>
      </rPr>
      <t>Assumption per hectare:</t>
    </r>
    <r>
      <rPr>
        <sz val="10"/>
        <rFont val="Lato"/>
        <family val="2"/>
      </rPr>
      <t xml:space="preserve"> grader $500; 20-tonne excavator $500; labour $540; accommodation and meals $150; ute mounted sprayer $150; seeding $809; labour $180; accommodation and meals $50</t>
    </r>
  </si>
  <si>
    <r>
      <rPr>
        <u/>
        <sz val="10"/>
        <rFont val="Lato"/>
        <family val="2"/>
      </rPr>
      <t>Note:</t>
    </r>
    <r>
      <rPr>
        <sz val="10"/>
        <rFont val="Lato"/>
        <family val="2"/>
      </rPr>
      <t xml:space="preserve"> as above.
</t>
    </r>
    <r>
      <rPr>
        <u/>
        <sz val="10"/>
        <rFont val="Lato"/>
        <family val="2"/>
      </rPr>
      <t xml:space="preserve">Includes: </t>
    </r>
    <r>
      <rPr>
        <sz val="10"/>
        <rFont val="Lato"/>
        <family val="2"/>
      </rPr>
      <t xml:space="preserve">shaping and respreading, weed management, seeding. 
</t>
    </r>
    <r>
      <rPr>
        <u/>
        <sz val="10"/>
        <rFont val="Lato"/>
        <family val="2"/>
      </rPr>
      <t>Assumption per hectare:</t>
    </r>
    <r>
      <rPr>
        <sz val="10"/>
        <rFont val="Lato"/>
        <family val="2"/>
      </rPr>
      <t xml:space="preserve"> grader $500; labour $540; accommodation and meals $150; ute mounted sprayer $150; seeding $809; labour $180; accommodation and meals $50</t>
    </r>
  </si>
  <si>
    <r>
      <rPr>
        <u/>
        <sz val="10"/>
        <rFont val="Lato"/>
        <family val="2"/>
      </rPr>
      <t>Note:</t>
    </r>
    <r>
      <rPr>
        <sz val="10"/>
        <rFont val="Lato"/>
        <family val="2"/>
      </rPr>
      <t xml:space="preserve"> as above.
</t>
    </r>
    <r>
      <rPr>
        <u/>
        <sz val="10"/>
        <rFont val="Lato"/>
        <family val="2"/>
      </rPr>
      <t>Includes:</t>
    </r>
    <r>
      <rPr>
        <sz val="10"/>
        <rFont val="Lato"/>
        <family val="2"/>
      </rPr>
      <t xml:space="preserve"> light ripping and levelling, shaping and respreading, weed management. 
</t>
    </r>
    <r>
      <rPr>
        <u/>
        <sz val="10"/>
        <rFont val="Lato"/>
        <family val="2"/>
      </rPr>
      <t>Assumption per hectare:</t>
    </r>
    <r>
      <rPr>
        <sz val="10"/>
        <rFont val="Lato"/>
        <family val="2"/>
      </rPr>
      <t xml:space="preserve"> grader $500; 20-tonne excavator $500; labour $540; accommodation and meals $150; ute mounted sprayer $150; labour $180; accommodation and meals $50</t>
    </r>
  </si>
  <si>
    <r>
      <rPr>
        <u/>
        <sz val="10"/>
        <rFont val="Lato"/>
        <family val="2"/>
      </rPr>
      <t>Note:</t>
    </r>
    <r>
      <rPr>
        <sz val="10"/>
        <rFont val="Lato"/>
        <family val="2"/>
      </rPr>
      <t xml:space="preserve"> as above.
</t>
    </r>
    <r>
      <rPr>
        <u/>
        <sz val="10"/>
        <rFont val="Lato"/>
        <family val="2"/>
      </rPr>
      <t>Includes:</t>
    </r>
    <r>
      <rPr>
        <sz val="10"/>
        <rFont val="Lato"/>
        <family val="2"/>
      </rPr>
      <t xml:space="preserve"> shaping and respreading, weed management. 
</t>
    </r>
    <r>
      <rPr>
        <u/>
        <sz val="10"/>
        <rFont val="Lato"/>
        <family val="2"/>
      </rPr>
      <t xml:space="preserve">Assumption per hectare: </t>
    </r>
    <r>
      <rPr>
        <sz val="10"/>
        <rFont val="Lato"/>
        <family val="2"/>
      </rPr>
      <t>grader $500; labour $540; accommodation and meals $150; ute mounted sprayer $150; labour $180; accommodation and meals $50</t>
    </r>
  </si>
  <si>
    <r>
      <rPr>
        <u/>
        <sz val="10"/>
        <rFont val="Lato"/>
        <family val="2"/>
      </rPr>
      <t>Includes</t>
    </r>
    <r>
      <rPr>
        <sz val="10"/>
        <rFont val="Lato"/>
        <family val="2"/>
      </rPr>
      <t xml:space="preserve">: light ripping and levelling, shaping and respreading, and weed management. 
</t>
    </r>
    <r>
      <rPr>
        <u/>
        <sz val="10"/>
        <rFont val="Lato"/>
        <family val="2"/>
      </rPr>
      <t>Assumption per hectare</t>
    </r>
    <r>
      <rPr>
        <sz val="10"/>
        <rFont val="Lato"/>
        <family val="2"/>
      </rPr>
      <t>: 1. grader $500; 20-tonne excavator $500; water truck $480; pump $30; ute $50; accommodation and meals $150; labour $540; 2. ute mounted sprayer $150; labour $180; accommodation and meals $50</t>
    </r>
  </si>
  <si>
    <r>
      <rPr>
        <u/>
        <sz val="10"/>
        <rFont val="Lato"/>
        <family val="2"/>
      </rPr>
      <t>Includes</t>
    </r>
    <r>
      <rPr>
        <sz val="10"/>
        <rFont val="Lato"/>
        <family val="2"/>
      </rPr>
      <t xml:space="preserve">: Fill in and levelling of sump.
</t>
    </r>
    <r>
      <rPr>
        <u/>
        <sz val="10"/>
        <rFont val="Lato"/>
        <family val="2"/>
      </rPr>
      <t>Assumption per m3</t>
    </r>
    <r>
      <rPr>
        <sz val="10"/>
        <rFont val="Lato"/>
        <family val="2"/>
      </rPr>
      <t>: D8 dozer $1.67; labour $0.54; accommodation and meals $0.15</t>
    </r>
  </si>
  <si>
    <r>
      <t xml:space="preserve">Includes: Cut to fill and compact.
</t>
    </r>
    <r>
      <rPr>
        <u/>
        <sz val="10"/>
        <rFont val="Lato"/>
        <family val="2"/>
      </rPr>
      <t>Assumption per m3</t>
    </r>
    <r>
      <rPr>
        <sz val="10"/>
        <rFont val="Lato"/>
        <family val="2"/>
      </rPr>
      <t>: D8 dozer $1.67; labour $0.54; accommodation and meals $0.15</t>
    </r>
  </si>
  <si>
    <t>Above and below ground</t>
  </si>
  <si>
    <r>
      <rPr>
        <u/>
        <sz val="10"/>
        <rFont val="Lato"/>
        <family val="2"/>
      </rPr>
      <t>Includes</t>
    </r>
    <r>
      <rPr>
        <sz val="10"/>
        <rFont val="Lato"/>
        <family val="2"/>
      </rPr>
      <t xml:space="preserve">: Removal of flowlines and/or pipelines. Note this rate is applicable to both above and below ground.
</t>
    </r>
    <r>
      <rPr>
        <u/>
        <sz val="10"/>
        <rFont val="Lato"/>
        <family val="2"/>
      </rPr>
      <t xml:space="preserve">Assumption per metre: </t>
    </r>
    <r>
      <rPr>
        <sz val="10"/>
        <rFont val="Lato"/>
        <family val="2"/>
      </rPr>
      <t>labour $4.60; excavator $5.00; body truck $2.00; site vehicle $0.50.</t>
    </r>
  </si>
  <si>
    <r>
      <rPr>
        <u/>
        <sz val="10"/>
        <rFont val="Lato"/>
        <family val="2"/>
      </rPr>
      <t>Includes</t>
    </r>
    <r>
      <rPr>
        <sz val="10"/>
        <rFont val="Lato"/>
        <family val="2"/>
      </rPr>
      <t xml:space="preserve">: light ripping and levelling, shaping and respreading, seeding and weed management. 
</t>
    </r>
    <r>
      <rPr>
        <u/>
        <sz val="10"/>
        <rFont val="Lato"/>
        <family val="2"/>
      </rPr>
      <t>Assumption per hectare</t>
    </r>
    <r>
      <rPr>
        <sz val="10"/>
        <rFont val="Lato"/>
        <family val="2"/>
      </rPr>
      <t>: 1. grader $500; 20-tonne excavator $500; water truck $480; pump $30; ute $50; labour $540; accommodation and meals $150; 2. ute mounted sprayer $150; seeding $809; labour $180; accommodation and meals $50</t>
    </r>
  </si>
  <si>
    <r>
      <rPr>
        <u/>
        <sz val="10"/>
        <rFont val="Lato"/>
        <family val="2"/>
      </rPr>
      <t>Includes</t>
    </r>
    <r>
      <rPr>
        <sz val="10"/>
        <rFont val="Lato"/>
        <family val="2"/>
      </rPr>
      <t xml:space="preserve">: light ripping and levelling, shaping and respreading, and weed management. 
</t>
    </r>
    <r>
      <rPr>
        <u/>
        <sz val="10"/>
        <rFont val="Lato"/>
        <family val="2"/>
      </rPr>
      <t>Assumption per hectare</t>
    </r>
    <r>
      <rPr>
        <sz val="10"/>
        <rFont val="Lato"/>
        <family val="2"/>
      </rPr>
      <t>: 1. grader $500; 20-tonne excavator $500; water truck $480; pump $30; ute $50; labour $540; accommodation and meals $150; 2. ute mounted sprayer $150; labour $180; accommodation and meals $50</t>
    </r>
  </si>
  <si>
    <r>
      <t xml:space="preserve">Includes: Fill and levelling of turkeys nest.
</t>
    </r>
    <r>
      <rPr>
        <u/>
        <sz val="10"/>
        <rFont val="Lato"/>
        <family val="2"/>
      </rPr>
      <t>Assumption per m3:</t>
    </r>
    <r>
      <rPr>
        <sz val="10"/>
        <rFont val="Lato"/>
        <family val="2"/>
      </rPr>
      <t xml:space="preserve"> D8 dozer $1.67; labour $0.54; accommodation and meals $0.15
interest holder to adjust the units (in Title_0X tabs) if a portion of turkey's nest will be retained.</t>
    </r>
  </si>
  <si>
    <r>
      <rPr>
        <u/>
        <sz val="10"/>
        <rFont val="Lato"/>
        <family val="2"/>
      </rPr>
      <t xml:space="preserve">Includes: </t>
    </r>
    <r>
      <rPr>
        <sz val="10"/>
        <rFont val="Lato"/>
        <family val="2"/>
      </rPr>
      <t xml:space="preserve">Contaminated land assessment of well pad including a minimum of 55 samples. This rate is for a broad investigation to cover the entire well pad area. 
</t>
    </r>
    <r>
      <rPr>
        <u/>
        <sz val="10"/>
        <rFont val="Lato"/>
        <family val="2"/>
      </rPr>
      <t xml:space="preserve">Assumption per well pad: </t>
    </r>
    <r>
      <rPr>
        <sz val="10"/>
        <rFont val="Lato"/>
        <family val="2"/>
      </rPr>
      <t>Lab costs $1,000 per sample. Consultancy: $1,500 day, 1 day on-site, 6 days report writing.</t>
    </r>
  </si>
  <si>
    <r>
      <rPr>
        <u/>
        <sz val="10"/>
        <color theme="1"/>
        <rFont val="Lato"/>
        <family val="2"/>
      </rPr>
      <t>Includes:</t>
    </r>
    <r>
      <rPr>
        <sz val="10"/>
        <color theme="1"/>
        <rFont val="Lato"/>
        <family val="2"/>
      </rPr>
      <t xml:space="preserve"> Transport and disposal at licensed facility </t>
    </r>
    <r>
      <rPr>
        <u/>
        <sz val="10"/>
        <color theme="1"/>
        <rFont val="Lato"/>
        <family val="2"/>
      </rPr>
      <t xml:space="preserve">
Assumption per liner:</t>
    </r>
    <r>
      <rPr>
        <sz val="10"/>
        <color theme="1"/>
        <rFont val="Lato"/>
        <family val="2"/>
      </rPr>
      <t xml:space="preserve"> 8t, double lining, 4000m2 liner surface area. </t>
    </r>
  </si>
  <si>
    <r>
      <rPr>
        <u/>
        <sz val="10"/>
        <color theme="1"/>
        <rFont val="Lato"/>
        <family val="2"/>
      </rPr>
      <t>Includes:</t>
    </r>
    <r>
      <rPr>
        <sz val="10"/>
        <color theme="1"/>
        <rFont val="Lato"/>
        <family val="2"/>
      </rPr>
      <t xml:space="preserve"> Disposal at licenced facility.
</t>
    </r>
    <r>
      <rPr>
        <u/>
        <sz val="10"/>
        <color theme="1"/>
        <rFont val="Lato"/>
        <family val="2"/>
      </rPr>
      <t>Assumption per m3:</t>
    </r>
    <r>
      <rPr>
        <sz val="10"/>
        <color theme="1"/>
        <rFont val="Lato"/>
        <family val="2"/>
      </rPr>
      <t xml:space="preserve"> transport to regional facility $5 per km for 55 tonne truck = ~37 m3. Density is 1,500 kg/m3. Disposal cost is ~$160 per tonne which is ~$240/m3 using above density assumption.</t>
    </r>
  </si>
  <si>
    <t>Number of wastewater treatment plants in scope</t>
  </si>
  <si>
    <t>Per well pad</t>
  </si>
  <si>
    <t>* Calculation adjusted because there are multiple volumes for wastewater</t>
  </si>
  <si>
    <t>CHECK the number of units in table 2</t>
  </si>
  <si>
    <t>0g/L</t>
  </si>
  <si>
    <t>Flowline right of ways - By track</t>
  </si>
  <si>
    <t>Flowline right of ways - Not by track</t>
  </si>
  <si>
    <r>
      <rPr>
        <u/>
        <sz val="10"/>
        <rFont val="Lato"/>
        <family val="2"/>
      </rPr>
      <t>Note:</t>
    </r>
    <r>
      <rPr>
        <sz val="10"/>
        <rFont val="Lato"/>
        <family val="2"/>
      </rPr>
      <t xml:space="preserve"> This is for flowlines that are located alongside an access track to reduce the cleared area. Ensure that the details of the cleared area for the ‘access track’ component of the ROW is included under ‘access tracks’ and that the remainder of the cleared area for the ROW is included under this category.
</t>
    </r>
    <r>
      <rPr>
        <u/>
        <sz val="10"/>
        <rFont val="Lato"/>
        <family val="2"/>
      </rPr>
      <t xml:space="preserve">Includes: </t>
    </r>
    <r>
      <rPr>
        <sz val="10"/>
        <rFont val="Lato"/>
        <family val="2"/>
      </rPr>
      <t xml:space="preserve">Posi-trak and operator. Assumed a 8m flowline width. 
</t>
    </r>
    <r>
      <rPr>
        <u/>
        <sz val="10"/>
        <rFont val="Lato"/>
        <family val="2"/>
      </rPr>
      <t xml:space="preserve">Assumption per hectare: </t>
    </r>
    <r>
      <rPr>
        <sz val="10"/>
        <rFont val="Lato"/>
        <family val="2"/>
      </rPr>
      <t>Posi-trak $602; operator $640.</t>
    </r>
  </si>
  <si>
    <r>
      <rPr>
        <u/>
        <sz val="10"/>
        <rFont val="Lato"/>
        <family val="2"/>
      </rPr>
      <t xml:space="preserve">Note: </t>
    </r>
    <r>
      <rPr>
        <sz val="10"/>
        <rFont val="Lato"/>
        <family val="2"/>
      </rPr>
      <t xml:space="preserve">This is for flowlines that are not located alongside an access track
</t>
    </r>
    <r>
      <rPr>
        <u/>
        <sz val="10"/>
        <rFont val="Lato"/>
        <family val="2"/>
      </rPr>
      <t xml:space="preserve">Includes: </t>
    </r>
    <r>
      <rPr>
        <sz val="10"/>
        <rFont val="Lato"/>
        <family val="2"/>
      </rPr>
      <t xml:space="preserve">Posi-trak and operator. Assumed a 16m flowline width. 
</t>
    </r>
    <r>
      <rPr>
        <u/>
        <sz val="10"/>
        <rFont val="Lato"/>
        <family val="2"/>
      </rPr>
      <t xml:space="preserve">Assumption per hectare: </t>
    </r>
    <r>
      <rPr>
        <sz val="10"/>
        <rFont val="Lato"/>
        <family val="2"/>
      </rPr>
      <t>Posi-trak $1,204; operator $1,280.</t>
    </r>
  </si>
  <si>
    <t>Demobilisation ($) applied based on maximum distance to regional centres across all Titles.</t>
  </si>
  <si>
    <t>Total mobilisation ($)</t>
  </si>
  <si>
    <t>Total demobilisation ($)</t>
  </si>
  <si>
    <t>Turkey's nest (retained)</t>
  </si>
  <si>
    <t>Access track (new or existing retained)</t>
  </si>
  <si>
    <t>Groundwater bore ≥ 70m TVD (retained)</t>
  </si>
  <si>
    <t>Groundwater bore &lt; 70m TVD (retained)</t>
  </si>
  <si>
    <t>Fencing (retained)</t>
  </si>
  <si>
    <t>June 2024</t>
  </si>
  <si>
    <t>Version 1.2</t>
  </si>
  <si>
    <t>Cell legend:</t>
  </si>
  <si>
    <t>Automatically calculated values</t>
  </si>
  <si>
    <t>Standard unit rates</t>
  </si>
  <si>
    <t>Interest holder input values</t>
  </si>
  <si>
    <r>
      <rPr>
        <u/>
        <sz val="10"/>
        <rFont val="Lato"/>
        <family val="2"/>
      </rPr>
      <t>Includes</t>
    </r>
    <r>
      <rPr>
        <sz val="10"/>
        <rFont val="Lato"/>
        <family val="2"/>
      </rPr>
      <t xml:space="preserve">: light ripping and levelling, shaping and respreading, seeding and weed management. 
</t>
    </r>
    <r>
      <rPr>
        <u/>
        <sz val="10"/>
        <rFont val="Lato"/>
        <family val="2"/>
      </rPr>
      <t>Assumption per hectare</t>
    </r>
    <r>
      <rPr>
        <sz val="10"/>
        <rFont val="Lato"/>
        <family val="2"/>
      </rPr>
      <t>: 1. grader $500; 20-tonne excavator $500; water truck $480; pump $30; ute $50; accommodation and meals $150; labour $540; 2. ute mounted sprayer $150; seeding $809; labour $180; accommodation and meals $50</t>
    </r>
  </si>
  <si>
    <r>
      <rPr>
        <u/>
        <sz val="10"/>
        <rFont val="Lato"/>
        <family val="2"/>
      </rPr>
      <t>Note:</t>
    </r>
    <r>
      <rPr>
        <sz val="10"/>
        <rFont val="Lato"/>
        <family val="2"/>
      </rPr>
      <t xml:space="preserve"> Assumed to be completed in three days. 
</t>
    </r>
    <r>
      <rPr>
        <u/>
        <sz val="10"/>
        <rFont val="Lato"/>
        <family val="2"/>
      </rPr>
      <t>Includes:</t>
    </r>
    <r>
      <rPr>
        <sz val="10"/>
        <rFont val="Lato"/>
        <family val="2"/>
      </rPr>
      <t xml:space="preserve"> Bore hole grouting. 
</t>
    </r>
    <r>
      <rPr>
        <u/>
        <sz val="10"/>
        <rFont val="Lato"/>
        <family val="2"/>
      </rPr>
      <t>Assumption per bore hole:</t>
    </r>
    <r>
      <rPr>
        <sz val="10"/>
        <rFont val="Lato"/>
        <family val="2"/>
      </rPr>
      <t xml:space="preserve"> labour $3,450; site vehicle: $750; grout supply including equipment $6,000; on costs $1,500.
interest holder to adjust the units (in Title_0X tabs) if a number of bores will be retained.</t>
    </r>
  </si>
  <si>
    <r>
      <rPr>
        <u/>
        <sz val="10"/>
        <rFont val="Lato"/>
        <family val="2"/>
      </rPr>
      <t>Note:</t>
    </r>
    <r>
      <rPr>
        <sz val="10"/>
        <rFont val="Lato"/>
        <family val="2"/>
      </rPr>
      <t xml:space="preserve"> Assumed to be completed in three days.
</t>
    </r>
    <r>
      <rPr>
        <u/>
        <sz val="10"/>
        <rFont val="Lato"/>
        <family val="2"/>
      </rPr>
      <t>Includes:</t>
    </r>
    <r>
      <rPr>
        <sz val="10"/>
        <rFont val="Lato"/>
        <family val="2"/>
      </rPr>
      <t xml:space="preserve"> Bore hole grouting.
</t>
    </r>
    <r>
      <rPr>
        <u/>
        <sz val="10"/>
        <rFont val="Lato"/>
        <family val="2"/>
      </rPr>
      <t>Assumption per bore hole:</t>
    </r>
    <r>
      <rPr>
        <sz val="10"/>
        <rFont val="Lato"/>
        <family val="2"/>
      </rPr>
      <t xml:space="preserve">  labour $3,450; ute $750; grout supply including equipment $3,000; on costs $1,500.
interest holder to adjust the units (in Title_0X tabs) if a number of bores will be retained.</t>
    </r>
  </si>
  <si>
    <r>
      <rPr>
        <u/>
        <sz val="10"/>
        <rFont val="Lato"/>
        <family val="2"/>
      </rPr>
      <t xml:space="preserve">Note: </t>
    </r>
    <r>
      <rPr>
        <sz val="10"/>
        <rFont val="Lato"/>
        <family val="2"/>
      </rPr>
      <t xml:space="preserve">To be returned to the landowner. Maintenance to return to original and safe conditions.
</t>
    </r>
    <r>
      <rPr>
        <u/>
        <sz val="10"/>
        <rFont val="Lato"/>
        <family val="2"/>
      </rPr>
      <t>Includes:</t>
    </r>
    <r>
      <rPr>
        <sz val="10"/>
        <rFont val="Lato"/>
        <family val="2"/>
      </rPr>
      <t xml:space="preserve"> track reshaping, weed treatment and shaping/grading of the affected areas. 
</t>
    </r>
    <r>
      <rPr>
        <u/>
        <sz val="10"/>
        <rFont val="Lato"/>
        <family val="2"/>
      </rPr>
      <t xml:space="preserve">Assumption per hectare: </t>
    </r>
    <r>
      <rPr>
        <sz val="10"/>
        <rFont val="Lato"/>
        <family val="2"/>
      </rPr>
      <t>1. grader $833; water truck $1600; roller $500; pump $50; ute $83; accommodation and meals $250; labour $900; 2. ute mounted sprayer $125; labour $150; accommodation and meals $42
interest holder to adjust the units (in Title_0X tabs) if a portion of access track will be retained.</t>
    </r>
  </si>
  <si>
    <r>
      <rPr>
        <u/>
        <sz val="10"/>
        <rFont val="Lato"/>
        <family val="2"/>
      </rPr>
      <t xml:space="preserve">Note: </t>
    </r>
    <r>
      <rPr>
        <sz val="10"/>
        <rFont val="Lato"/>
        <family val="2"/>
      </rPr>
      <t xml:space="preserve">Cut to fill and compact, does not include filling material.
</t>
    </r>
    <r>
      <rPr>
        <u/>
        <sz val="10"/>
        <rFont val="Lato"/>
        <family val="2"/>
      </rPr>
      <t>Assumption per hectare</t>
    </r>
    <r>
      <rPr>
        <sz val="10"/>
        <rFont val="Lato"/>
        <family val="2"/>
      </rPr>
      <t>: 3 hectares per day. Per hectare: dozer $926; water truck $800; excavator $833; labour $300; accommodation and meals $84; pump: $50; ute: $83</t>
    </r>
  </si>
  <si>
    <r>
      <rPr>
        <u/>
        <sz val="10"/>
        <rFont val="Lato"/>
        <family val="2"/>
      </rPr>
      <t>Note</t>
    </r>
    <r>
      <rPr>
        <sz val="10"/>
        <rFont val="Lato"/>
        <family val="2"/>
      </rPr>
      <t>: Assumed to be completed in two days.</t>
    </r>
    <r>
      <rPr>
        <u/>
        <sz val="10"/>
        <rFont val="Lato"/>
        <family val="2"/>
      </rPr>
      <t xml:space="preserve">
Includes</t>
    </r>
    <r>
      <rPr>
        <sz val="10"/>
        <rFont val="Lato"/>
        <family val="2"/>
      </rPr>
      <t xml:space="preserve">: Deconstruction and removal of wastewater tanks.
</t>
    </r>
    <r>
      <rPr>
        <u/>
        <sz val="10"/>
        <rFont val="Lato"/>
        <family val="2"/>
      </rPr>
      <t>Assumption per tank</t>
    </r>
    <r>
      <rPr>
        <sz val="10"/>
        <rFont val="Lato"/>
        <family val="2"/>
      </rPr>
      <t>: Above ground tank. crane $5,000; triple truck $5,000; labour $4,600; site vehicle $500.</t>
    </r>
  </si>
  <si>
    <t>Area cleared for flowline right of ways</t>
  </si>
  <si>
    <t>Expected TDS after evaporation</t>
  </si>
  <si>
    <t>Surface area</t>
  </si>
  <si>
    <t>Expected volume of drilling muds and cuttings</t>
  </si>
  <si>
    <t>(Average) area cleared for new gravel pits</t>
  </si>
  <si>
    <r>
      <t xml:space="preserve">Includes: </t>
    </r>
    <r>
      <rPr>
        <sz val="10"/>
        <rFont val="Lato"/>
        <family val="2"/>
      </rPr>
      <t>Deconstruction and removal of wastewater treatment plants.</t>
    </r>
    <r>
      <rPr>
        <u/>
        <sz val="10"/>
        <rFont val="Lato"/>
        <family val="2"/>
      </rPr>
      <t xml:space="preserve">
Assumption per treatment plant: </t>
    </r>
    <r>
      <rPr>
        <sz val="10"/>
        <rFont val="Lato"/>
        <family val="2"/>
      </rPr>
      <t>vacuum truck $2,500; labour $1,800; tilt tray $2,500, waste disposal $1,050 (7 tonnes at $150/tonne)</t>
    </r>
  </si>
  <si>
    <t>This is the NT Environmental Security Calculator for Onshore Petroleum (Version 1.2), developed by the Department of Environment, Parks and Water Security and released in June 2024. For the accompanying Guidelines, check the website.</t>
  </si>
  <si>
    <t>Project overheads</t>
  </si>
  <si>
    <t>Project management (10%) applied to sub-total incl. mobilisation/demobilisation.</t>
  </si>
  <si>
    <t>Sub-total of all activities updated to include project overheads.</t>
  </si>
  <si>
    <t>Sub-total of rehabilitation activities, infrastructure removal and waste disposal, updated to include mobilisation and demobilisation.</t>
  </si>
  <si>
    <t>This tab includes one table with disturbance activities by characteristic and category, including their corresponding unit and unit rate. All unit rates are GST exclusive. The table also includes any additional notes or assumptions relating to the unit rate of the disturbance activity which the Interest Holder should be aware of. No action is required by interest holder, as these values are automatically linked to Title_0X tabs to inform the annual security value. Click the (+) on the left to group/ungroup rows to shorten the tab.</t>
  </si>
  <si>
    <t>Mobilisation $</t>
  </si>
  <si>
    <t>Capacity and number of camps. See note 3 for further detail.</t>
  </si>
  <si>
    <t>(Average) size of area cleared for camp. See note 3 for further detail.</t>
  </si>
  <si>
    <t>Mobilisation and demobilisation</t>
  </si>
  <si>
    <t>The total volume of drilling muds and cuttings that will be disposed offsite. Exclude the volume of drilling muds and cuttings that will be mixed, buried, or capped onsite.</t>
  </si>
  <si>
    <t>Max dist</t>
  </si>
  <si>
    <t>Note 3: Evidence that an independent third party owns any camps and is contractually required to remove them needs to be submitted separately to the Department. With evidence, the interest holder can exclude these camps from the camp removal count. Regardless of camp ownership, the interest holder must include all cleared areas for the camp in the security calculation.</t>
  </si>
  <si>
    <t>Title number (e.g. exploration permit or operating licence number)</t>
  </si>
  <si>
    <r>
      <rPr>
        <u/>
        <sz val="10"/>
        <rFont val="Lato"/>
        <family val="2"/>
      </rPr>
      <t xml:space="preserve">Note: </t>
    </r>
    <r>
      <rPr>
        <sz val="10"/>
        <rFont val="Lato"/>
        <family val="2"/>
      </rPr>
      <t xml:space="preserve">as above.
</t>
    </r>
    <r>
      <rPr>
        <u/>
        <sz val="10"/>
        <rFont val="Lato"/>
        <family val="2"/>
      </rPr>
      <t>Includes:</t>
    </r>
    <r>
      <rPr>
        <sz val="10"/>
        <rFont val="Lato"/>
        <family val="2"/>
      </rPr>
      <t xml:space="preserve"> as above.
</t>
    </r>
    <r>
      <rPr>
        <u/>
        <sz val="10"/>
        <rFont val="Lato"/>
        <family val="2"/>
      </rPr>
      <t>Assumption per hectare:</t>
    </r>
    <r>
      <rPr>
        <sz val="10"/>
        <rFont val="Lato"/>
        <family val="2"/>
      </rPr>
      <t xml:space="preserve"> 1. grader $833; 20-tonne excavator $833; accommodation and meals $250; labour $900; 2. ute mounted sprayer $125; Seeding $809; labour $150; accommodation and meals $42
interest holder to adjust the units (in Title_0X tabs) if a portion of access track will be retained.</t>
    </r>
  </si>
  <si>
    <t>GST (10%)</t>
  </si>
  <si>
    <t>GST (10%) applied to sub-total incl. mobilisation/demobilisation (GST excl).</t>
  </si>
  <si>
    <t>Total security value per year</t>
  </si>
  <si>
    <t>Total of mobilisation and demobilisation</t>
  </si>
  <si>
    <r>
      <t xml:space="preserve">Distance to regional centre (note 1) </t>
    </r>
    <r>
      <rPr>
        <b/>
        <sz val="12"/>
        <color theme="5" tint="0.39997558519241921"/>
        <rFont val="Lato"/>
        <family val="2"/>
      </rPr>
      <t>(km)</t>
    </r>
  </si>
  <si>
    <r>
      <t xml:space="preserve">Distance to disposal facility </t>
    </r>
    <r>
      <rPr>
        <b/>
        <sz val="12"/>
        <color theme="5" tint="0.39997558519241921"/>
        <rFont val="Lato"/>
        <family val="2"/>
      </rPr>
      <t>(km)</t>
    </r>
  </si>
  <si>
    <t>Total of project overheads</t>
  </si>
  <si>
    <r>
      <t xml:space="preserve">Mobilisation $ for 100 - 249 km distance to regional centre. </t>
    </r>
    <r>
      <rPr>
        <u/>
        <sz val="10"/>
        <rFont val="Lato"/>
        <family val="2"/>
      </rPr>
      <t>Includes</t>
    </r>
    <r>
      <rPr>
        <sz val="10"/>
        <rFont val="Lato"/>
        <family val="2"/>
      </rPr>
      <t>: Cost of grader, excavator, dozer, roller and labour (adjusted for distance)</t>
    </r>
  </si>
  <si>
    <r>
      <t xml:space="preserve">Mobilisation $ for 250 - 499 km distance to regional centre. </t>
    </r>
    <r>
      <rPr>
        <u/>
        <sz val="10"/>
        <rFont val="Lato"/>
        <family val="2"/>
      </rPr>
      <t>Includes</t>
    </r>
    <r>
      <rPr>
        <sz val="10"/>
        <rFont val="Lato"/>
        <family val="2"/>
      </rPr>
      <t>: Cost of grader, excavator, dozer, roller and labour (adjusted for distance)</t>
    </r>
  </si>
  <si>
    <r>
      <t xml:space="preserve">Mobilisation $ for &gt;500 km distance to regional centre. </t>
    </r>
    <r>
      <rPr>
        <u/>
        <sz val="10"/>
        <rFont val="Lato"/>
        <family val="2"/>
      </rPr>
      <t>Includes</t>
    </r>
    <r>
      <rPr>
        <sz val="10"/>
        <rFont val="Lato"/>
        <family val="2"/>
      </rPr>
      <t>: Cost of grader, excavator, dozer, roller and labour (adjusted for distance)</t>
    </r>
  </si>
  <si>
    <t>$/ distance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</si>
</sst>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quot;$&quot;#,##0.00"/>
    <numFmt numFmtId="166" formatCode="0.0%"/>
    <numFmt numFmtId="167" formatCode="&quot;$&quot;#,##0"/>
    <numFmt numFmtId="168" formatCode="#,##0&quot;km&quot;"/>
    <numFmt numFmtId="169" formatCode="&quot;$&quot;#,##0.000"/>
    <numFmt numFmtId="170" formatCode="0&quot;km&quot;"/>
    <numFmt numFmtId="171" formatCode="_-* #,##0_-;\-* #,##0_-;_-* &quot;-&quot;??_-;_-@_-"/>
  </numFmts>
  <fonts count="55" x14ac:knownFonts="1">
    <font>
      <sz val="11"/>
      <color theme="1"/>
      <name val="Calibri"/>
      <family val="2"/>
      <scheme val="minor"/>
    </font>
    <font>
      <sz val="11"/>
      <color rgb="FF3F3F76"/>
      <name val="Calibri"/>
      <family val="2"/>
      <scheme val="minor"/>
    </font>
    <font>
      <b/>
      <sz val="11"/>
      <color rgb="FFFA7D00"/>
      <name val="Calibri"/>
      <family val="2"/>
      <scheme val="minor"/>
    </font>
    <font>
      <sz val="8"/>
      <name val="Calibri"/>
      <family val="2"/>
      <scheme val="minor"/>
    </font>
    <font>
      <sz val="10"/>
      <name val="Arial"/>
      <family val="2"/>
    </font>
    <font>
      <sz val="11"/>
      <color theme="1"/>
      <name val="Calibri"/>
      <family val="2"/>
      <scheme val="minor"/>
    </font>
    <font>
      <sz val="11"/>
      <color theme="1"/>
      <name val="Lato"/>
      <family val="2"/>
    </font>
    <font>
      <u/>
      <sz val="11"/>
      <color theme="1"/>
      <name val="Lato"/>
      <family val="2"/>
    </font>
    <font>
      <sz val="28"/>
      <color theme="1"/>
      <name val="Lato"/>
      <family val="2"/>
    </font>
    <font>
      <b/>
      <sz val="28"/>
      <color theme="1"/>
      <name val="Lato"/>
      <family val="2"/>
    </font>
    <font>
      <b/>
      <sz val="12"/>
      <color theme="1"/>
      <name val="Lato"/>
      <family val="2"/>
    </font>
    <font>
      <b/>
      <sz val="11"/>
      <color theme="1"/>
      <name val="Lato"/>
      <family val="2"/>
    </font>
    <font>
      <b/>
      <sz val="10"/>
      <color theme="1"/>
      <name val="Lato"/>
      <family val="2"/>
    </font>
    <font>
      <sz val="14"/>
      <color theme="0"/>
      <name val="Lato"/>
      <family val="2"/>
    </font>
    <font>
      <b/>
      <sz val="14"/>
      <color theme="0"/>
      <name val="Lato"/>
      <family val="2"/>
    </font>
    <font>
      <b/>
      <sz val="11"/>
      <color theme="0"/>
      <name val="Lato"/>
      <family val="2"/>
    </font>
    <font>
      <sz val="11"/>
      <color theme="0"/>
      <name val="Lato"/>
      <family val="2"/>
    </font>
    <font>
      <b/>
      <sz val="11"/>
      <color rgb="FFFA7D00"/>
      <name val="Lato"/>
      <family val="2"/>
    </font>
    <font>
      <b/>
      <sz val="12"/>
      <color theme="0"/>
      <name val="Lato"/>
      <family val="2"/>
    </font>
    <font>
      <b/>
      <sz val="16"/>
      <color theme="0"/>
      <name val="Lato"/>
      <family val="2"/>
    </font>
    <font>
      <b/>
      <sz val="11"/>
      <name val="Lato"/>
      <family val="2"/>
    </font>
    <font>
      <b/>
      <sz val="11"/>
      <color rgb="FFE35205"/>
      <name val="Lato"/>
      <family val="2"/>
    </font>
    <font>
      <b/>
      <sz val="11"/>
      <color rgb="FF1F1F5F"/>
      <name val="Lato"/>
      <family val="2"/>
    </font>
    <font>
      <sz val="11"/>
      <name val="Lato"/>
      <family val="2"/>
    </font>
    <font>
      <vertAlign val="superscript"/>
      <sz val="11"/>
      <color theme="1"/>
      <name val="Lato"/>
      <family val="2"/>
    </font>
    <font>
      <sz val="11"/>
      <color theme="0" tint="-0.249977111117893"/>
      <name val="Lato"/>
      <family val="2"/>
    </font>
    <font>
      <sz val="16"/>
      <color theme="1"/>
      <name val="Lato"/>
      <family val="2"/>
    </font>
    <font>
      <b/>
      <sz val="11"/>
      <color rgb="FF1E5E5E"/>
      <name val="Lato"/>
      <family val="2"/>
    </font>
    <font>
      <vertAlign val="superscript"/>
      <sz val="11"/>
      <name val="Lato"/>
      <family val="2"/>
    </font>
    <font>
      <sz val="11"/>
      <color theme="3" tint="0.39997558519241921"/>
      <name val="Lato"/>
      <family val="2"/>
    </font>
    <font>
      <b/>
      <sz val="11"/>
      <color rgb="FFFCA574"/>
      <name val="Lato"/>
      <family val="2"/>
    </font>
    <font>
      <b/>
      <sz val="11"/>
      <color rgb="FFFF0000"/>
      <name val="Lato"/>
      <family val="2"/>
    </font>
    <font>
      <b/>
      <sz val="11"/>
      <color theme="5"/>
      <name val="Lato"/>
      <family val="2"/>
    </font>
    <font>
      <sz val="14"/>
      <color theme="1"/>
      <name val="Lato"/>
      <family val="2"/>
    </font>
    <font>
      <sz val="10"/>
      <name val="Lato"/>
      <family val="2"/>
    </font>
    <font>
      <u/>
      <sz val="10"/>
      <name val="Lato"/>
      <family val="2"/>
    </font>
    <font>
      <sz val="10"/>
      <color theme="1"/>
      <name val="Lato"/>
      <family val="2"/>
    </font>
    <font>
      <u/>
      <sz val="10"/>
      <color theme="1"/>
      <name val="Lato"/>
      <family val="2"/>
    </font>
    <font>
      <b/>
      <sz val="20"/>
      <color theme="1"/>
      <name val="Lato"/>
      <family val="2"/>
    </font>
    <font>
      <i/>
      <sz val="11"/>
      <color rgb="FFFFFFFF"/>
      <name val="Lato"/>
      <family val="2"/>
    </font>
    <font>
      <i/>
      <sz val="11"/>
      <color theme="1"/>
      <name val="Calibri"/>
      <family val="2"/>
      <scheme val="minor"/>
    </font>
    <font>
      <b/>
      <sz val="18"/>
      <color theme="1"/>
      <name val="Lato"/>
      <family val="2"/>
    </font>
    <font>
      <sz val="20"/>
      <color theme="1"/>
      <name val="Lato"/>
      <family val="2"/>
    </font>
    <font>
      <b/>
      <sz val="11"/>
      <color rgb="FF002060"/>
      <name val="Lato"/>
      <family val="2"/>
    </font>
    <font>
      <b/>
      <sz val="11"/>
      <color rgb="FF1F1F5F"/>
      <name val="Lato"/>
      <family val="2"/>
    </font>
    <font>
      <sz val="11"/>
      <color theme="1"/>
      <name val="Lato"/>
      <family val="2"/>
    </font>
    <font>
      <sz val="11"/>
      <name val="Lato"/>
      <family val="2"/>
    </font>
    <font>
      <sz val="11"/>
      <color theme="0"/>
      <name val="Lato"/>
      <family val="2"/>
    </font>
    <font>
      <b/>
      <sz val="11"/>
      <color rgb="FFE35205"/>
      <name val="Lato"/>
      <family val="2"/>
    </font>
    <font>
      <sz val="14"/>
      <color theme="1"/>
      <name val="Lato"/>
      <family val="2"/>
    </font>
    <font>
      <sz val="12"/>
      <color theme="1"/>
      <name val="Lato"/>
      <family val="2"/>
    </font>
    <font>
      <b/>
      <sz val="11"/>
      <color theme="4" tint="-0.499984740745262"/>
      <name val="Lato"/>
      <family val="2"/>
    </font>
    <font>
      <b/>
      <sz val="12"/>
      <name val="Lato"/>
      <family val="2"/>
    </font>
    <font>
      <b/>
      <sz val="12"/>
      <color theme="5" tint="0.39997558519241921"/>
      <name val="Lato"/>
      <family val="2"/>
    </font>
    <font>
      <b/>
      <sz val="16"/>
      <color rgb="FFE35205"/>
      <name val="Lato"/>
      <family val="2"/>
    </font>
  </fonts>
  <fills count="31">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1F1F5F"/>
        <bgColor indexed="64"/>
      </patternFill>
    </fill>
    <fill>
      <patternFill patternType="solid">
        <fgColor rgb="FF454347"/>
        <bgColor indexed="64"/>
      </patternFill>
    </fill>
    <fill>
      <patternFill patternType="solid">
        <fgColor theme="0" tint="-0.499984740745262"/>
        <bgColor indexed="64"/>
      </patternFill>
    </fill>
    <fill>
      <patternFill patternType="solid">
        <fgColor theme="0"/>
        <bgColor indexed="64"/>
      </patternFill>
    </fill>
    <fill>
      <patternFill patternType="solid">
        <fgColor rgb="FFF2F2F2"/>
        <bgColor indexed="64"/>
      </patternFill>
    </fill>
    <fill>
      <patternFill patternType="solid">
        <fgColor theme="5" tint="0.59999389629810485"/>
        <bgColor indexed="64"/>
      </patternFill>
    </fill>
    <fill>
      <patternFill patternType="solid">
        <fgColor rgb="FFFCA574"/>
        <bgColor indexed="64"/>
      </patternFill>
    </fill>
    <fill>
      <patternFill patternType="solid">
        <fgColor rgb="FF8C898F"/>
        <bgColor indexed="64"/>
      </patternFill>
    </fill>
    <fill>
      <patternFill patternType="solid">
        <fgColor theme="9" tint="0.59999389629810485"/>
        <bgColor indexed="64"/>
      </patternFill>
    </fill>
    <fill>
      <patternFill patternType="solid">
        <fgColor rgb="FF000000"/>
        <bgColor indexed="64"/>
      </patternFill>
    </fill>
    <fill>
      <patternFill patternType="solid">
        <fgColor rgb="FFE6E6E6"/>
        <bgColor indexed="64"/>
      </patternFill>
    </fill>
    <fill>
      <patternFill patternType="solid">
        <fgColor theme="0"/>
        <bgColor rgb="FF00FFFF"/>
      </patternFill>
    </fill>
    <fill>
      <patternFill patternType="solid">
        <fgColor theme="9" tint="0.59999389629810485"/>
        <bgColor rgb="FF00FFFF"/>
      </patternFill>
    </fill>
    <fill>
      <patternFill patternType="solid">
        <fgColor rgb="FF1F1F5F"/>
        <bgColor rgb="FF00FFFF"/>
      </patternFill>
    </fill>
    <fill>
      <patternFill patternType="solid">
        <fgColor theme="3" tint="0.59999389629810485"/>
        <bgColor rgb="FF00FFFF"/>
      </patternFill>
    </fill>
    <fill>
      <patternFill patternType="solid">
        <fgColor rgb="FFE8F8F8"/>
        <bgColor rgb="FF00FFFF"/>
      </patternFill>
    </fill>
    <fill>
      <patternFill patternType="solid">
        <fgColor theme="0" tint="-0.249977111117893"/>
        <bgColor indexed="64"/>
      </patternFill>
    </fill>
    <fill>
      <patternFill patternType="solid">
        <fgColor rgb="FFACB9CA"/>
        <bgColor rgb="FF00FFFF"/>
      </patternFill>
    </fill>
    <fill>
      <patternFill patternType="solid">
        <fgColor rgb="FFACB9CA"/>
        <bgColor indexed="64"/>
      </patternFill>
    </fill>
    <fill>
      <patternFill patternType="solid">
        <fgColor rgb="FFF2F2F2"/>
        <bgColor rgb="FF00FFFF"/>
      </patternFill>
    </fill>
    <fill>
      <patternFill patternType="solid">
        <fgColor rgb="FF8497B0"/>
        <bgColor rgb="FF00FFFF"/>
      </patternFill>
    </fill>
    <fill>
      <patternFill patternType="solid">
        <fgColor theme="3" tint="0.59999389629810485"/>
        <bgColor indexed="64"/>
      </patternFill>
    </fill>
    <fill>
      <patternFill patternType="solid">
        <fgColor theme="0" tint="-0.249977111117893"/>
        <bgColor rgb="FF00FFFF"/>
      </patternFill>
    </fill>
  </fills>
  <borders count="103">
    <border>
      <left/>
      <right/>
      <top/>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diagonal/>
    </border>
    <border>
      <left/>
      <right/>
      <top style="thin">
        <color theme="0" tint="-0.14999847407452621"/>
      </top>
      <bottom style="thin">
        <color theme="0" tint="-0.14999847407452621"/>
      </bottom>
      <diagonal/>
    </border>
    <border>
      <left style="thin">
        <color indexed="64"/>
      </left>
      <right style="medium">
        <color indexed="64"/>
      </right>
      <top style="medium">
        <color indexed="64"/>
      </top>
      <bottom style="thin">
        <color indexed="64"/>
      </bottom>
      <diagonal/>
    </border>
    <border>
      <left style="medium">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style="medium">
        <color indexed="64"/>
      </left>
      <right/>
      <top/>
      <bottom style="thin">
        <color indexed="64"/>
      </bottom>
      <diagonal/>
    </border>
    <border>
      <left style="thin">
        <color rgb="FF7F7F7F"/>
      </left>
      <right style="thin">
        <color rgb="FF7F7F7F"/>
      </right>
      <top style="thin">
        <color indexed="64"/>
      </top>
      <bottom style="thin">
        <color indexed="64"/>
      </bottom>
      <diagonal/>
    </border>
    <border>
      <left style="thin">
        <color indexed="64"/>
      </left>
      <right style="thin">
        <color rgb="FF7F7F7F"/>
      </right>
      <top/>
      <bottom style="thin">
        <color indexed="64"/>
      </bottom>
      <diagonal/>
    </border>
    <border>
      <left style="thin">
        <color indexed="64"/>
      </left>
      <right style="thin">
        <color rgb="FF7F7F7F"/>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rgb="FF7F7F7F"/>
      </left>
      <right style="thin">
        <color rgb="FF7F7F7F"/>
      </right>
      <top/>
      <bottom style="thin">
        <color indexed="64"/>
      </bottom>
      <diagonal/>
    </border>
    <border>
      <left/>
      <right style="thin">
        <color indexed="64"/>
      </right>
      <top style="thin">
        <color indexed="64"/>
      </top>
      <bottom/>
      <diagonal/>
    </border>
    <border>
      <left style="thin">
        <color indexed="64"/>
      </left>
      <right style="thin">
        <color rgb="FF7F7F7F"/>
      </right>
      <top/>
      <bottom/>
      <diagonal/>
    </border>
    <border>
      <left/>
      <right style="thin">
        <color rgb="FF7F7F7F"/>
      </right>
      <top style="thin">
        <color indexed="64"/>
      </top>
      <bottom style="thin">
        <color indexed="64"/>
      </bottom>
      <diagonal/>
    </border>
    <border>
      <left/>
      <right style="thin">
        <color rgb="FF7F7F7F"/>
      </right>
      <top style="thin">
        <color indexed="64"/>
      </top>
      <bottom/>
      <diagonal/>
    </border>
    <border>
      <left style="thin">
        <color rgb="FF7F7F7F"/>
      </left>
      <right style="thin">
        <color rgb="FF7F7F7F"/>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rgb="FF7F7F7F"/>
      </right>
      <top style="thin">
        <color indexed="64"/>
      </top>
      <bottom/>
      <diagonal/>
    </border>
    <border>
      <left style="thin">
        <color indexed="64"/>
      </left>
      <right/>
      <top/>
      <bottom style="thin">
        <color theme="0" tint="-0.14999847407452621"/>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theme="0" tint="-0.149998474074526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7F7F7F"/>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theme="0" tint="-0.14999847407452621"/>
      </top>
      <bottom style="thin">
        <color theme="0" tint="-0.14999847407452621"/>
      </bottom>
      <diagonal/>
    </border>
    <border>
      <left style="medium">
        <color indexed="64"/>
      </left>
      <right/>
      <top style="thin">
        <color theme="0" tint="-0.14999847407452621"/>
      </top>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top style="thin">
        <color theme="0" tint="-0.14999847407452621"/>
      </top>
      <bottom style="thin">
        <color theme="0" tint="-0.1499984740745262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indexed="64"/>
      </left>
      <right style="thin">
        <color rgb="FF7F7F7F"/>
      </right>
      <top style="thin">
        <color indexed="64"/>
      </top>
      <bottom style="medium">
        <color indexed="64"/>
      </bottom>
      <diagonal/>
    </border>
    <border>
      <left/>
      <right/>
      <top style="thin">
        <color theme="0" tint="-0.14999847407452621"/>
      </top>
      <bottom style="thin">
        <color indexed="64"/>
      </bottom>
      <diagonal/>
    </border>
    <border>
      <left/>
      <right/>
      <top style="thin">
        <color indexed="64"/>
      </top>
      <bottom style="thin">
        <color theme="0" tint="-0.1499984740745262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7F7F7F"/>
      </top>
      <bottom style="thin">
        <color indexed="64"/>
      </bottom>
      <diagonal/>
    </border>
    <border>
      <left style="thin">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s>
  <cellStyleXfs count="6">
    <xf numFmtId="0" fontId="0" fillId="0" borderId="0"/>
    <xf numFmtId="0" fontId="1" fillId="2" borderId="1" applyNumberFormat="0" applyAlignment="0" applyProtection="0"/>
    <xf numFmtId="0" fontId="2" fillId="3" borderId="1" applyNumberFormat="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cellStyleXfs>
  <cellXfs count="667">
    <xf numFmtId="0" fontId="0" fillId="0" borderId="0" xfId="0"/>
    <xf numFmtId="0" fontId="16" fillId="11" borderId="0" xfId="0" applyFont="1" applyFill="1" applyAlignment="1" applyProtection="1">
      <alignment vertical="center" wrapText="1"/>
      <protection hidden="1"/>
    </xf>
    <xf numFmtId="0" fontId="13" fillId="11" borderId="0" xfId="0" applyFont="1" applyFill="1" applyAlignment="1" applyProtection="1">
      <alignment vertical="center" wrapText="1"/>
      <protection hidden="1"/>
    </xf>
    <xf numFmtId="0" fontId="6" fillId="11" borderId="0" xfId="0" applyFont="1" applyFill="1" applyAlignment="1" applyProtection="1">
      <alignment wrapText="1"/>
      <protection hidden="1"/>
    </xf>
    <xf numFmtId="0" fontId="6" fillId="11" borderId="0" xfId="0" applyFont="1" applyFill="1" applyAlignment="1">
      <alignment wrapText="1"/>
    </xf>
    <xf numFmtId="0" fontId="6" fillId="11" borderId="0" xfId="0" applyFont="1" applyFill="1"/>
    <xf numFmtId="0" fontId="16" fillId="8" borderId="23" xfId="0" applyFont="1" applyFill="1" applyBorder="1" applyAlignment="1">
      <alignment vertical="center" wrapText="1"/>
    </xf>
    <xf numFmtId="0" fontId="16" fillId="8" borderId="23" xfId="0" applyFont="1" applyFill="1" applyBorder="1"/>
    <xf numFmtId="0" fontId="16" fillId="8" borderId="24" xfId="0" applyFont="1" applyFill="1" applyBorder="1" applyAlignment="1">
      <alignment wrapText="1"/>
    </xf>
    <xf numFmtId="165" fontId="22" fillId="11" borderId="0" xfId="2" applyNumberFormat="1" applyFont="1" applyFill="1" applyBorder="1" applyAlignment="1" applyProtection="1">
      <alignment horizontal="right" vertical="center" wrapText="1"/>
      <protection hidden="1"/>
    </xf>
    <xf numFmtId="165" fontId="17" fillId="11" borderId="0" xfId="2" applyNumberFormat="1" applyFont="1" applyFill="1" applyBorder="1" applyAlignment="1" applyProtection="1">
      <alignment horizontal="right" vertical="center" wrapText="1"/>
      <protection hidden="1"/>
    </xf>
    <xf numFmtId="0" fontId="6" fillId="11" borderId="0" xfId="0" applyFont="1" applyFill="1" applyProtection="1">
      <protection hidden="1"/>
    </xf>
    <xf numFmtId="0" fontId="14" fillId="9" borderId="27" xfId="0" applyFont="1" applyFill="1" applyBorder="1" applyAlignment="1" applyProtection="1">
      <alignment horizontal="right" vertical="center"/>
      <protection hidden="1"/>
    </xf>
    <xf numFmtId="0" fontId="14" fillId="9" borderId="14" xfId="0" applyFont="1" applyFill="1" applyBorder="1" applyAlignment="1" applyProtection="1">
      <alignment horizontal="right" vertical="center"/>
      <protection hidden="1"/>
    </xf>
    <xf numFmtId="0" fontId="6" fillId="11" borderId="0" xfId="0" applyFont="1" applyFill="1" applyAlignment="1">
      <alignment vertical="center"/>
    </xf>
    <xf numFmtId="0" fontId="16" fillId="4" borderId="8" xfId="0" applyFont="1" applyFill="1" applyBorder="1" applyAlignment="1" applyProtection="1">
      <alignment vertical="center" wrapText="1"/>
      <protection hidden="1"/>
    </xf>
    <xf numFmtId="0" fontId="19" fillId="4" borderId="7" xfId="0" applyFont="1" applyFill="1" applyBorder="1" applyAlignment="1" applyProtection="1">
      <alignment vertical="center"/>
      <protection hidden="1"/>
    </xf>
    <xf numFmtId="0" fontId="9" fillId="14" borderId="19" xfId="0" applyFont="1" applyFill="1" applyBorder="1" applyAlignment="1" applyProtection="1">
      <alignment horizontal="center" vertical="center" wrapText="1"/>
      <protection hidden="1"/>
    </xf>
    <xf numFmtId="0" fontId="8" fillId="14" borderId="3" xfId="0" applyFont="1" applyFill="1" applyBorder="1" applyAlignment="1" applyProtection="1">
      <alignment horizontal="center" vertical="center" wrapText="1"/>
      <protection hidden="1"/>
    </xf>
    <xf numFmtId="0" fontId="12" fillId="14" borderId="3" xfId="0" applyFont="1" applyFill="1" applyBorder="1" applyAlignment="1" applyProtection="1">
      <alignment horizontal="center" vertical="center" wrapText="1"/>
      <protection hidden="1"/>
    </xf>
    <xf numFmtId="0" fontId="10" fillId="14" borderId="3" xfId="0" applyFont="1" applyFill="1" applyBorder="1" applyAlignment="1" applyProtection="1">
      <alignment horizontal="center" vertical="center" wrapText="1"/>
      <protection hidden="1"/>
    </xf>
    <xf numFmtId="49" fontId="12" fillId="14" borderId="3" xfId="0" applyNumberFormat="1" applyFont="1" applyFill="1" applyBorder="1" applyAlignment="1" applyProtection="1">
      <alignment horizontal="center" vertical="center" wrapText="1"/>
      <protection hidden="1"/>
    </xf>
    <xf numFmtId="49" fontId="10" fillId="14" borderId="20" xfId="0" applyNumberFormat="1" applyFont="1" applyFill="1" applyBorder="1" applyAlignment="1" applyProtection="1">
      <alignment horizontal="center" vertical="center" wrapText="1"/>
      <protection hidden="1"/>
    </xf>
    <xf numFmtId="0" fontId="14" fillId="9" borderId="42" xfId="0" applyFont="1" applyFill="1" applyBorder="1" applyAlignment="1" applyProtection="1">
      <alignment horizontal="center" vertical="center" wrapText="1"/>
      <protection hidden="1"/>
    </xf>
    <xf numFmtId="167" fontId="23" fillId="13" borderId="54" xfId="1" applyNumberFormat="1" applyFont="1" applyFill="1" applyBorder="1" applyAlignment="1" applyProtection="1">
      <alignment horizontal="center" vertical="center"/>
    </xf>
    <xf numFmtId="167" fontId="23" fillId="13" borderId="4" xfId="1" applyNumberFormat="1" applyFont="1" applyFill="1" applyBorder="1" applyAlignment="1" applyProtection="1">
      <alignment horizontal="center" vertical="center"/>
    </xf>
    <xf numFmtId="167" fontId="23" fillId="13" borderId="62" xfId="1" applyNumberFormat="1" applyFont="1" applyFill="1" applyBorder="1" applyAlignment="1" applyProtection="1">
      <alignment horizontal="center" vertical="center"/>
    </xf>
    <xf numFmtId="165" fontId="23" fillId="13" borderId="54" xfId="1" applyNumberFormat="1" applyFont="1" applyFill="1" applyBorder="1" applyAlignment="1" applyProtection="1">
      <alignment horizontal="center" vertical="center"/>
    </xf>
    <xf numFmtId="167" fontId="23" fillId="13" borderId="67" xfId="1" applyNumberFormat="1" applyFont="1" applyFill="1" applyBorder="1" applyAlignment="1" applyProtection="1">
      <alignment horizontal="center" vertical="center"/>
    </xf>
    <xf numFmtId="167" fontId="23" fillId="13" borderId="69" xfId="1" applyNumberFormat="1" applyFont="1" applyFill="1" applyBorder="1" applyAlignment="1" applyProtection="1">
      <alignment horizontal="center" vertical="center"/>
    </xf>
    <xf numFmtId="0" fontId="14" fillId="8" borderId="23" xfId="0" applyFont="1" applyFill="1" applyBorder="1" applyAlignment="1">
      <alignment horizontal="left" vertical="center"/>
    </xf>
    <xf numFmtId="167" fontId="23" fillId="13" borderId="6" xfId="1" applyNumberFormat="1" applyFont="1" applyFill="1" applyBorder="1" applyAlignment="1" applyProtection="1">
      <alignment horizontal="center" vertical="center"/>
    </xf>
    <xf numFmtId="0" fontId="31" fillId="11" borderId="0" xfId="0" applyFont="1" applyFill="1" applyAlignment="1" applyProtection="1">
      <alignment horizontal="left" vertical="center" wrapText="1"/>
      <protection hidden="1"/>
    </xf>
    <xf numFmtId="167" fontId="6" fillId="13" borderId="13" xfId="1" applyNumberFormat="1" applyFont="1" applyFill="1" applyBorder="1" applyAlignment="1" applyProtection="1">
      <alignment horizontal="center" vertical="center"/>
    </xf>
    <xf numFmtId="0" fontId="16" fillId="4" borderId="29" xfId="0" applyFont="1" applyFill="1" applyBorder="1" applyAlignment="1" applyProtection="1">
      <alignment vertical="center" wrapText="1"/>
      <protection hidden="1"/>
    </xf>
    <xf numFmtId="0" fontId="19" fillId="11" borderId="0" xfId="0" applyFont="1" applyFill="1" applyAlignment="1" applyProtection="1">
      <alignment horizontal="center" vertical="center" wrapText="1"/>
      <protection hidden="1"/>
    </xf>
    <xf numFmtId="49" fontId="21" fillId="11" borderId="0" xfId="2" applyNumberFormat="1" applyFont="1" applyFill="1" applyBorder="1" applyAlignment="1" applyProtection="1">
      <alignment horizontal="center" vertical="center"/>
      <protection locked="0"/>
    </xf>
    <xf numFmtId="0" fontId="14" fillId="9" borderId="23" xfId="0" applyFont="1" applyFill="1" applyBorder="1" applyAlignment="1" applyProtection="1">
      <alignment vertical="center"/>
      <protection hidden="1"/>
    </xf>
    <xf numFmtId="0" fontId="15" fillId="10" borderId="0" xfId="0" applyFont="1" applyFill="1" applyAlignment="1">
      <alignment horizontal="left" vertical="center"/>
    </xf>
    <xf numFmtId="0" fontId="6" fillId="0" borderId="0" xfId="0" applyFont="1" applyAlignment="1">
      <alignment vertical="center"/>
    </xf>
    <xf numFmtId="0" fontId="6" fillId="11" borderId="51" xfId="0" applyFont="1" applyFill="1" applyBorder="1" applyAlignment="1">
      <alignment vertical="center"/>
    </xf>
    <xf numFmtId="0" fontId="16" fillId="9" borderId="0" xfId="0" applyFont="1" applyFill="1" applyAlignment="1">
      <alignment vertical="center"/>
    </xf>
    <xf numFmtId="0" fontId="6" fillId="11" borderId="52" xfId="0" applyFont="1" applyFill="1" applyBorder="1" applyAlignment="1">
      <alignment vertical="center"/>
    </xf>
    <xf numFmtId="0" fontId="14" fillId="8" borderId="23" xfId="0" applyFont="1" applyFill="1" applyBorder="1" applyAlignment="1">
      <alignment horizontal="left" vertical="center" wrapText="1"/>
    </xf>
    <xf numFmtId="0" fontId="6" fillId="11" borderId="77" xfId="0" applyFont="1" applyFill="1" applyBorder="1" applyAlignment="1">
      <alignment horizontal="center" vertical="center"/>
    </xf>
    <xf numFmtId="0" fontId="6" fillId="11" borderId="41" xfId="0" applyFont="1" applyFill="1" applyBorder="1" applyAlignment="1">
      <alignment horizontal="center" vertical="center"/>
    </xf>
    <xf numFmtId="165" fontId="23" fillId="13" borderId="62" xfId="1" applyNumberFormat="1" applyFont="1" applyFill="1" applyBorder="1" applyAlignment="1" applyProtection="1">
      <alignment horizontal="center" vertical="center"/>
    </xf>
    <xf numFmtId="0" fontId="19" fillId="4" borderId="4" xfId="0" applyFont="1" applyFill="1" applyBorder="1" applyAlignment="1" applyProtection="1">
      <alignment vertical="center"/>
      <protection hidden="1"/>
    </xf>
    <xf numFmtId="164" fontId="21" fillId="12" borderId="28" xfId="2" applyNumberFormat="1" applyFont="1" applyFill="1" applyBorder="1" applyAlignment="1" applyProtection="1">
      <alignment horizontal="center" vertical="center"/>
      <protection locked="0"/>
    </xf>
    <xf numFmtId="0" fontId="6" fillId="11" borderId="8" xfId="0" applyFont="1" applyFill="1" applyBorder="1" applyAlignment="1" applyProtection="1">
      <alignment horizontal="left" vertical="center"/>
      <protection hidden="1"/>
    </xf>
    <xf numFmtId="0" fontId="6" fillId="11" borderId="8" xfId="0" applyFont="1" applyFill="1" applyBorder="1" applyAlignment="1" applyProtection="1">
      <alignment horizontal="center" vertical="center"/>
      <protection hidden="1"/>
    </xf>
    <xf numFmtId="164" fontId="21" fillId="12" borderId="8" xfId="2" applyNumberFormat="1" applyFont="1" applyFill="1" applyBorder="1" applyAlignment="1" applyProtection="1">
      <alignment horizontal="center" vertical="center"/>
      <protection locked="0"/>
    </xf>
    <xf numFmtId="0" fontId="6" fillId="11" borderId="12" xfId="0" applyFont="1" applyFill="1" applyBorder="1" applyAlignment="1" applyProtection="1">
      <alignment horizontal="left" vertical="center"/>
      <protection hidden="1"/>
    </xf>
    <xf numFmtId="0" fontId="6" fillId="11" borderId="12" xfId="0" applyFont="1" applyFill="1" applyBorder="1" applyAlignment="1" applyProtection="1">
      <alignment horizontal="center" vertical="center"/>
      <protection hidden="1"/>
    </xf>
    <xf numFmtId="164" fontId="21" fillId="12" borderId="12" xfId="2" applyNumberFormat="1" applyFont="1" applyFill="1" applyBorder="1" applyAlignment="1" applyProtection="1">
      <alignment horizontal="center" vertical="center"/>
      <protection locked="0"/>
    </xf>
    <xf numFmtId="0" fontId="6" fillId="0" borderId="8" xfId="0" applyFont="1" applyBorder="1" applyAlignment="1">
      <alignment horizontal="left" vertical="center"/>
    </xf>
    <xf numFmtId="164" fontId="21" fillId="3" borderId="8" xfId="2" applyNumberFormat="1" applyFont="1" applyBorder="1" applyAlignment="1" applyProtection="1">
      <alignment horizontal="center" vertical="center"/>
      <protection locked="0"/>
    </xf>
    <xf numFmtId="0" fontId="6" fillId="7" borderId="21" xfId="0" applyFont="1" applyFill="1" applyBorder="1" applyAlignment="1" applyProtection="1">
      <alignment vertical="center" wrapText="1"/>
      <protection locked="0"/>
    </xf>
    <xf numFmtId="0" fontId="6" fillId="0" borderId="11" xfId="0" applyFont="1" applyBorder="1" applyAlignment="1">
      <alignment horizontal="left" vertical="center" wrapText="1"/>
    </xf>
    <xf numFmtId="0" fontId="6" fillId="7" borderId="31" xfId="0" applyFont="1" applyFill="1" applyBorder="1" applyAlignment="1" applyProtection="1">
      <alignment vertical="center" wrapText="1"/>
      <protection locked="0"/>
    </xf>
    <xf numFmtId="0" fontId="6" fillId="11" borderId="10" xfId="0" applyFont="1" applyFill="1" applyBorder="1" applyAlignment="1" applyProtection="1">
      <alignment horizontal="left" vertical="center"/>
      <protection hidden="1"/>
    </xf>
    <xf numFmtId="0" fontId="6" fillId="0" borderId="28" xfId="0" applyFont="1" applyBorder="1" applyAlignment="1">
      <alignment horizontal="center" vertical="center" wrapText="1"/>
    </xf>
    <xf numFmtId="0" fontId="6" fillId="11" borderId="28" xfId="0" applyFont="1" applyFill="1" applyBorder="1" applyAlignment="1">
      <alignment horizontal="left" vertical="center"/>
    </xf>
    <xf numFmtId="0" fontId="6" fillId="11" borderId="28" xfId="0" applyFont="1" applyFill="1" applyBorder="1" applyAlignment="1">
      <alignment horizontal="center" vertical="center"/>
    </xf>
    <xf numFmtId="0" fontId="6" fillId="11" borderId="8" xfId="0" applyFont="1" applyFill="1" applyBorder="1" applyAlignment="1">
      <alignment horizontal="left" vertical="center"/>
    </xf>
    <xf numFmtId="0" fontId="6" fillId="11" borderId="8" xfId="0" applyFont="1" applyFill="1" applyBorder="1" applyAlignment="1">
      <alignment horizontal="center" vertical="center"/>
    </xf>
    <xf numFmtId="164" fontId="21" fillId="5" borderId="8" xfId="2" applyNumberFormat="1"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28" xfId="0" applyFont="1" applyBorder="1" applyAlignment="1">
      <alignment horizontal="center" vertical="center"/>
    </xf>
    <xf numFmtId="0" fontId="6" fillId="0" borderId="53" xfId="0" applyFont="1" applyBorder="1" applyAlignment="1">
      <alignment horizontal="left" vertical="center" wrapText="1"/>
    </xf>
    <xf numFmtId="0" fontId="6" fillId="7" borderId="40" xfId="0" applyFont="1" applyFill="1" applyBorder="1" applyAlignment="1" applyProtection="1">
      <alignment vertical="center" wrapText="1"/>
      <protection locked="0"/>
    </xf>
    <xf numFmtId="0" fontId="6" fillId="0" borderId="5" xfId="0" applyFont="1" applyBorder="1" applyAlignment="1">
      <alignment horizontal="left" vertical="center"/>
    </xf>
    <xf numFmtId="0" fontId="6" fillId="0" borderId="12" xfId="0" applyFont="1" applyBorder="1" applyAlignment="1">
      <alignment horizontal="center" vertical="center" wrapText="1"/>
    </xf>
    <xf numFmtId="0" fontId="6" fillId="11" borderId="12" xfId="0" applyFont="1" applyFill="1" applyBorder="1" applyAlignment="1">
      <alignment horizontal="left" vertical="center"/>
    </xf>
    <xf numFmtId="0" fontId="6" fillId="11" borderId="12" xfId="0" applyFont="1" applyFill="1" applyBorder="1" applyAlignment="1">
      <alignment horizontal="center" vertical="center"/>
    </xf>
    <xf numFmtId="0" fontId="11" fillId="11" borderId="0" xfId="0" applyFont="1" applyFill="1" applyAlignment="1">
      <alignment vertical="center"/>
    </xf>
    <xf numFmtId="0" fontId="14" fillId="17" borderId="0" xfId="0" applyFont="1" applyFill="1" applyAlignment="1" applyProtection="1">
      <alignment horizontal="left" vertical="center"/>
      <protection hidden="1"/>
    </xf>
    <xf numFmtId="0" fontId="33" fillId="11" borderId="0" xfId="0" applyFont="1" applyFill="1" applyAlignment="1">
      <alignment wrapText="1"/>
    </xf>
    <xf numFmtId="0" fontId="33" fillId="11" borderId="0" xfId="0" applyFont="1" applyFill="1"/>
    <xf numFmtId="0" fontId="14" fillId="8" borderId="23" xfId="0" applyFont="1" applyFill="1" applyBorder="1" applyAlignment="1" applyProtection="1">
      <alignment horizontal="left" vertical="center"/>
      <protection hidden="1"/>
    </xf>
    <xf numFmtId="0" fontId="14" fillId="8" borderId="23" xfId="0" applyFont="1" applyFill="1" applyBorder="1" applyAlignment="1" applyProtection="1">
      <alignment horizontal="center" vertical="center" wrapText="1"/>
      <protection hidden="1"/>
    </xf>
    <xf numFmtId="0" fontId="14" fillId="8" borderId="23" xfId="0" applyFont="1" applyFill="1" applyBorder="1" applyAlignment="1" applyProtection="1">
      <alignment horizontal="center"/>
      <protection hidden="1"/>
    </xf>
    <xf numFmtId="0" fontId="14" fillId="8" borderId="24" xfId="0" applyFont="1" applyFill="1" applyBorder="1" applyAlignment="1" applyProtection="1">
      <alignment horizontal="center" wrapText="1"/>
      <protection hidden="1"/>
    </xf>
    <xf numFmtId="0" fontId="13" fillId="9" borderId="0" xfId="0" applyFont="1" applyFill="1" applyAlignment="1">
      <alignment vertical="center"/>
    </xf>
    <xf numFmtId="0" fontId="14" fillId="11" borderId="0" xfId="0" applyFont="1" applyFill="1" applyAlignment="1">
      <alignment horizontal="left" vertical="center"/>
    </xf>
    <xf numFmtId="0" fontId="6" fillId="17" borderId="0" xfId="0" applyFont="1" applyFill="1" applyAlignment="1">
      <alignment vertical="top"/>
    </xf>
    <xf numFmtId="0" fontId="14" fillId="11" borderId="0" xfId="0" applyFont="1" applyFill="1" applyAlignment="1" applyProtection="1">
      <alignment horizontal="center" vertical="center" wrapText="1"/>
      <protection hidden="1"/>
    </xf>
    <xf numFmtId="0" fontId="19" fillId="11" borderId="0" xfId="0" applyFont="1" applyFill="1" applyAlignment="1" applyProtection="1">
      <alignment vertical="center"/>
      <protection hidden="1"/>
    </xf>
    <xf numFmtId="0" fontId="13" fillId="11" borderId="0" xfId="0" applyFont="1" applyFill="1" applyAlignment="1" applyProtection="1">
      <alignment horizontal="right" vertical="center" wrapText="1"/>
      <protection hidden="1"/>
    </xf>
    <xf numFmtId="167" fontId="27" fillId="11" borderId="0" xfId="2" applyNumberFormat="1" applyFont="1" applyFill="1" applyBorder="1" applyAlignment="1" applyProtection="1">
      <alignment horizontal="center" vertical="center" wrapText="1"/>
    </xf>
    <xf numFmtId="167" fontId="6" fillId="11" borderId="0" xfId="2" applyNumberFormat="1" applyFont="1" applyFill="1" applyBorder="1" applyAlignment="1">
      <alignment horizontal="left" vertical="center"/>
    </xf>
    <xf numFmtId="0" fontId="29" fillId="11" borderId="0" xfId="0" applyFont="1" applyFill="1" applyAlignment="1" applyProtection="1">
      <alignment vertical="center" wrapText="1"/>
      <protection hidden="1"/>
    </xf>
    <xf numFmtId="167" fontId="30" fillId="11" borderId="0" xfId="2" applyNumberFormat="1" applyFont="1" applyFill="1" applyBorder="1" applyAlignment="1" applyProtection="1">
      <alignment horizontal="center" vertical="center" wrapText="1"/>
      <protection hidden="1"/>
    </xf>
    <xf numFmtId="167" fontId="6" fillId="11" borderId="0" xfId="2" applyNumberFormat="1" applyFont="1" applyFill="1" applyBorder="1" applyAlignment="1">
      <alignment horizontal="left" vertical="top"/>
    </xf>
    <xf numFmtId="0" fontId="14" fillId="11" borderId="0" xfId="0" applyFont="1" applyFill="1" applyAlignment="1" applyProtection="1">
      <alignment horizontal="right" vertical="center" wrapText="1"/>
      <protection hidden="1"/>
    </xf>
    <xf numFmtId="167" fontId="20" fillId="11" borderId="0" xfId="2" applyNumberFormat="1" applyFont="1" applyFill="1" applyBorder="1" applyAlignment="1" applyProtection="1">
      <alignment horizontal="center" vertical="center" wrapText="1"/>
    </xf>
    <xf numFmtId="170" fontId="32" fillId="11" borderId="0" xfId="2" applyNumberFormat="1" applyFont="1" applyFill="1" applyBorder="1" applyAlignment="1" applyProtection="1">
      <alignment horizontal="center" vertical="center" wrapText="1"/>
      <protection hidden="1"/>
    </xf>
    <xf numFmtId="167" fontId="27" fillId="11" borderId="0" xfId="2" applyNumberFormat="1" applyFont="1" applyFill="1" applyBorder="1" applyAlignment="1" applyProtection="1">
      <alignment horizontal="center" vertical="center" wrapText="1"/>
      <protection hidden="1"/>
    </xf>
    <xf numFmtId="167" fontId="6" fillId="11" borderId="0" xfId="2" applyNumberFormat="1" applyFont="1" applyFill="1" applyBorder="1" applyAlignment="1">
      <alignment horizontal="left" vertical="center" wrapText="1"/>
    </xf>
    <xf numFmtId="0" fontId="14" fillId="11" borderId="0" xfId="0" applyFont="1" applyFill="1" applyAlignment="1" applyProtection="1">
      <alignment horizontal="right" vertical="center"/>
      <protection hidden="1"/>
    </xf>
    <xf numFmtId="167" fontId="27" fillId="11" borderId="0" xfId="0" applyNumberFormat="1" applyFont="1" applyFill="1" applyAlignment="1">
      <alignment horizontal="center" vertical="center" wrapText="1"/>
    </xf>
    <xf numFmtId="0" fontId="11" fillId="11" borderId="0" xfId="0" applyFont="1" applyFill="1" applyAlignment="1" applyProtection="1">
      <alignment wrapText="1"/>
      <protection hidden="1"/>
    </xf>
    <xf numFmtId="0" fontId="25" fillId="11" borderId="0" xfId="0" applyFont="1" applyFill="1" applyAlignment="1" applyProtection="1">
      <alignment horizontal="center" vertical="center"/>
      <protection locked="0"/>
    </xf>
    <xf numFmtId="49" fontId="26" fillId="11" borderId="0" xfId="0" applyNumberFormat="1" applyFont="1" applyFill="1" applyAlignment="1" applyProtection="1">
      <alignment horizontal="center" vertical="center"/>
      <protection locked="0"/>
    </xf>
    <xf numFmtId="14" fontId="26" fillId="11" borderId="0" xfId="0" applyNumberFormat="1" applyFont="1" applyFill="1" applyAlignment="1" applyProtection="1">
      <alignment horizontal="center" vertical="center"/>
      <protection locked="0"/>
    </xf>
    <xf numFmtId="0" fontId="33" fillId="11" borderId="0" xfId="0" applyFont="1" applyFill="1" applyAlignment="1">
      <alignment vertical="top"/>
    </xf>
    <xf numFmtId="0" fontId="14" fillId="8" borderId="23" xfId="0" applyFont="1" applyFill="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16" fillId="8" borderId="23" xfId="0" applyFont="1" applyFill="1" applyBorder="1" applyAlignment="1">
      <alignment horizontal="left" vertical="top" wrapText="1"/>
    </xf>
    <xf numFmtId="0" fontId="6" fillId="0" borderId="28" xfId="0" applyFont="1" applyBorder="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14" fillId="8" borderId="7" xfId="0" applyFont="1" applyFill="1" applyBorder="1" applyAlignment="1" applyProtection="1">
      <alignment vertical="center" wrapText="1"/>
      <protection hidden="1"/>
    </xf>
    <xf numFmtId="0" fontId="14" fillId="8" borderId="8" xfId="0" applyFont="1" applyFill="1" applyBorder="1" applyAlignment="1" applyProtection="1">
      <alignment vertical="center" wrapText="1"/>
      <protection hidden="1"/>
    </xf>
    <xf numFmtId="0" fontId="14" fillId="8" borderId="6" xfId="0" applyFont="1" applyFill="1" applyBorder="1" applyAlignment="1" applyProtection="1">
      <alignment vertical="center" wrapText="1"/>
      <protection hidden="1"/>
    </xf>
    <xf numFmtId="0" fontId="19" fillId="4" borderId="32" xfId="0" applyFont="1" applyFill="1" applyBorder="1" applyAlignment="1" applyProtection="1">
      <alignment vertical="center" wrapText="1"/>
      <protection hidden="1"/>
    </xf>
    <xf numFmtId="0" fontId="6" fillId="11" borderId="0" xfId="0" applyFont="1" applyFill="1" applyAlignment="1" applyProtection="1">
      <alignment horizontal="right" wrapText="1"/>
      <protection hidden="1"/>
    </xf>
    <xf numFmtId="0" fontId="16" fillId="4" borderId="29" xfId="0" applyFont="1" applyFill="1" applyBorder="1" applyAlignment="1" applyProtection="1">
      <alignment horizontal="right" vertical="center" wrapText="1"/>
      <protection hidden="1"/>
    </xf>
    <xf numFmtId="0" fontId="16" fillId="11" borderId="0" xfId="0" applyFont="1" applyFill="1" applyAlignment="1" applyProtection="1">
      <alignment horizontal="right" vertical="center" wrapText="1"/>
      <protection hidden="1"/>
    </xf>
    <xf numFmtId="0" fontId="16" fillId="4" borderId="8" xfId="0" applyFont="1" applyFill="1" applyBorder="1" applyAlignment="1" applyProtection="1">
      <alignment horizontal="right" vertical="center" wrapText="1"/>
      <protection hidden="1"/>
    </xf>
    <xf numFmtId="0" fontId="6" fillId="11" borderId="0" xfId="0" applyFont="1" applyFill="1" applyAlignment="1" applyProtection="1">
      <alignment horizontal="right"/>
      <protection hidden="1"/>
    </xf>
    <xf numFmtId="0" fontId="0" fillId="18" borderId="0" xfId="0" applyFill="1" applyProtection="1">
      <protection hidden="1"/>
    </xf>
    <xf numFmtId="0" fontId="0" fillId="18" borderId="0" xfId="0" applyFill="1"/>
    <xf numFmtId="0" fontId="40" fillId="18" borderId="0" xfId="0" applyFont="1" applyFill="1" applyProtection="1">
      <protection hidden="1"/>
    </xf>
    <xf numFmtId="168" fontId="21" fillId="11" borderId="0" xfId="2" applyNumberFormat="1" applyFont="1" applyFill="1" applyBorder="1" applyAlignment="1" applyProtection="1">
      <alignment horizontal="left" vertical="center" indent="1"/>
      <protection locked="0"/>
    </xf>
    <xf numFmtId="0" fontId="14" fillId="9" borderId="22" xfId="0" applyFont="1" applyFill="1" applyBorder="1" applyAlignment="1" applyProtection="1">
      <alignment horizontal="center" vertical="center" wrapText="1"/>
      <protection hidden="1"/>
    </xf>
    <xf numFmtId="167" fontId="23" fillId="13" borderId="36" xfId="1" applyNumberFormat="1" applyFont="1" applyFill="1" applyBorder="1" applyAlignment="1" applyProtection="1">
      <alignment horizontal="center" vertical="center"/>
    </xf>
    <xf numFmtId="0" fontId="6" fillId="11" borderId="10" xfId="0" applyFont="1" applyFill="1" applyBorder="1" applyAlignment="1" applyProtection="1">
      <alignment horizontal="center" vertical="center"/>
      <protection hidden="1"/>
    </xf>
    <xf numFmtId="164" fontId="21" fillId="3" borderId="10" xfId="2" applyNumberFormat="1" applyFont="1" applyBorder="1" applyAlignment="1" applyProtection="1">
      <alignment horizontal="center" vertical="center"/>
      <protection locked="0"/>
    </xf>
    <xf numFmtId="0" fontId="6" fillId="11" borderId="47" xfId="0" applyFont="1" applyFill="1" applyBorder="1" applyAlignment="1">
      <alignment vertical="center"/>
    </xf>
    <xf numFmtId="0" fontId="6" fillId="11" borderId="8" xfId="0" applyFont="1" applyFill="1" applyBorder="1" applyAlignment="1">
      <alignment horizontal="left" vertical="top" wrapText="1"/>
    </xf>
    <xf numFmtId="0" fontId="14" fillId="9" borderId="22" xfId="0" applyFont="1" applyFill="1" applyBorder="1" applyAlignment="1" applyProtection="1">
      <alignment horizontal="left" vertical="center" wrapText="1"/>
      <protection hidden="1"/>
    </xf>
    <xf numFmtId="0" fontId="14" fillId="9" borderId="23" xfId="0" applyFont="1" applyFill="1" applyBorder="1" applyAlignment="1" applyProtection="1">
      <alignment horizontal="left" vertical="center" wrapText="1"/>
      <protection hidden="1"/>
    </xf>
    <xf numFmtId="0" fontId="14" fillId="9" borderId="24" xfId="0" applyFont="1" applyFill="1" applyBorder="1" applyAlignment="1" applyProtection="1">
      <alignment horizontal="left" vertical="center" wrapText="1"/>
      <protection hidden="1"/>
    </xf>
    <xf numFmtId="0" fontId="6" fillId="0" borderId="5" xfId="0" applyFont="1" applyBorder="1" applyAlignment="1">
      <alignment horizontal="left" vertical="center" wrapText="1"/>
    </xf>
    <xf numFmtId="0" fontId="6" fillId="0" borderId="8" xfId="0" applyFont="1" applyBorder="1" applyAlignment="1">
      <alignment horizontal="center" vertical="center" wrapText="1"/>
    </xf>
    <xf numFmtId="0" fontId="16" fillId="6" borderId="44" xfId="0" applyFont="1" applyFill="1" applyBorder="1" applyAlignment="1" applyProtection="1">
      <alignment vertical="center" wrapText="1"/>
      <protection hidden="1"/>
    </xf>
    <xf numFmtId="0" fontId="16" fillId="6" borderId="33" xfId="0" applyFont="1" applyFill="1" applyBorder="1" applyAlignment="1" applyProtection="1">
      <alignment vertical="center" wrapText="1"/>
      <protection hidden="1"/>
    </xf>
    <xf numFmtId="167" fontId="6" fillId="0" borderId="4" xfId="2" applyNumberFormat="1" applyFont="1" applyFill="1" applyBorder="1" applyAlignment="1">
      <alignment horizontal="left" vertical="top" wrapText="1"/>
    </xf>
    <xf numFmtId="167" fontId="6" fillId="0" borderId="37" xfId="2" applyNumberFormat="1" applyFont="1" applyFill="1" applyBorder="1" applyAlignment="1">
      <alignment horizontal="left" vertical="top" wrapText="1"/>
    </xf>
    <xf numFmtId="0" fontId="6" fillId="11" borderId="3" xfId="0" applyFont="1" applyFill="1" applyBorder="1" applyAlignment="1">
      <alignment wrapText="1"/>
    </xf>
    <xf numFmtId="0" fontId="6" fillId="11" borderId="3" xfId="0" applyFont="1" applyFill="1" applyBorder="1"/>
    <xf numFmtId="0" fontId="6" fillId="11" borderId="3" xfId="0" applyFont="1" applyFill="1" applyBorder="1" applyAlignment="1">
      <alignment horizontal="left" vertical="top" wrapText="1"/>
    </xf>
    <xf numFmtId="0" fontId="6" fillId="11" borderId="0" xfId="0" applyFont="1" applyFill="1" applyAlignment="1">
      <alignment horizontal="left" vertical="top" wrapText="1"/>
    </xf>
    <xf numFmtId="0" fontId="6" fillId="0" borderId="0" xfId="0" applyFont="1"/>
    <xf numFmtId="0" fontId="6" fillId="11" borderId="29" xfId="0" applyFont="1" applyFill="1" applyBorder="1" applyAlignment="1">
      <alignment wrapText="1"/>
    </xf>
    <xf numFmtId="0" fontId="6" fillId="11" borderId="63" xfId="0" applyFont="1" applyFill="1" applyBorder="1" applyAlignment="1">
      <alignment wrapText="1"/>
    </xf>
    <xf numFmtId="0" fontId="6" fillId="11" borderId="0" xfId="0" applyFont="1" applyFill="1" applyAlignment="1">
      <alignment horizontal="left" vertical="center" indent="1"/>
    </xf>
    <xf numFmtId="0" fontId="6" fillId="11" borderId="0" xfId="0" applyFont="1" applyFill="1" applyAlignment="1">
      <alignment horizontal="left" vertical="top" wrapText="1" indent="1"/>
    </xf>
    <xf numFmtId="0" fontId="6" fillId="0" borderId="0" xfId="0" applyFont="1" applyAlignment="1">
      <alignment horizontal="left" vertical="center" indent="1"/>
    </xf>
    <xf numFmtId="0" fontId="6" fillId="11" borderId="0" xfId="0" applyFont="1" applyFill="1" applyAlignment="1">
      <alignment horizontal="left" wrapText="1" indent="1"/>
    </xf>
    <xf numFmtId="0" fontId="6" fillId="11" borderId="44" xfId="0" applyFont="1" applyFill="1" applyBorder="1" applyAlignment="1">
      <alignment vertical="center"/>
    </xf>
    <xf numFmtId="0" fontId="6" fillId="11" borderId="35" xfId="0" applyFont="1" applyFill="1" applyBorder="1" applyAlignment="1">
      <alignment vertical="center"/>
    </xf>
    <xf numFmtId="0" fontId="6" fillId="11" borderId="0" xfId="0" applyFont="1" applyFill="1" applyAlignment="1">
      <alignment vertical="top" wrapText="1"/>
    </xf>
    <xf numFmtId="0" fontId="6" fillId="11" borderId="0" xfId="0" applyFont="1" applyFill="1" applyAlignment="1">
      <alignment horizontal="left" indent="1"/>
    </xf>
    <xf numFmtId="0" fontId="6" fillId="11" borderId="0" xfId="0" applyFont="1" applyFill="1" applyAlignment="1">
      <alignment vertical="center" wrapText="1"/>
    </xf>
    <xf numFmtId="0" fontId="13" fillId="11" borderId="0" xfId="0" applyFont="1" applyFill="1"/>
    <xf numFmtId="0" fontId="6" fillId="11" borderId="35" xfId="0" applyFont="1" applyFill="1" applyBorder="1" applyAlignment="1">
      <alignment wrapText="1"/>
    </xf>
    <xf numFmtId="0" fontId="6" fillId="11" borderId="0" xfId="0" applyFont="1" applyFill="1" applyAlignment="1">
      <alignment horizontal="left" wrapText="1"/>
    </xf>
    <xf numFmtId="0" fontId="16" fillId="11" borderId="0" xfId="0" applyFont="1" applyFill="1"/>
    <xf numFmtId="0" fontId="16" fillId="11" borderId="3" xfId="0" applyFont="1" applyFill="1" applyBorder="1" applyAlignment="1">
      <alignment horizontal="left" vertical="top" wrapText="1"/>
    </xf>
    <xf numFmtId="0" fontId="16" fillId="11" borderId="3" xfId="0" applyFont="1" applyFill="1" applyBorder="1"/>
    <xf numFmtId="0" fontId="23" fillId="11" borderId="0" xfId="0" applyFont="1" applyFill="1" applyAlignment="1">
      <alignment vertical="center"/>
    </xf>
    <xf numFmtId="0" fontId="6" fillId="16" borderId="0" xfId="0" applyFont="1" applyFill="1" applyAlignment="1">
      <alignment vertical="center" wrapText="1"/>
    </xf>
    <xf numFmtId="0" fontId="11" fillId="16" borderId="0" xfId="0" applyFont="1" applyFill="1" applyAlignment="1">
      <alignment horizontal="right" vertical="center"/>
    </xf>
    <xf numFmtId="0" fontId="6" fillId="16" borderId="0" xfId="0" applyFont="1" applyFill="1" applyAlignment="1">
      <alignment vertical="center"/>
    </xf>
    <xf numFmtId="0" fontId="16" fillId="11" borderId="0" xfId="0" applyFont="1" applyFill="1" applyAlignment="1">
      <alignment vertical="center"/>
    </xf>
    <xf numFmtId="0" fontId="23" fillId="11" borderId="0" xfId="0" applyFont="1" applyFill="1" applyAlignment="1">
      <alignment vertical="center" wrapText="1"/>
    </xf>
    <xf numFmtId="0" fontId="6" fillId="17" borderId="0" xfId="0" applyFont="1" applyFill="1" applyAlignment="1">
      <alignment wrapText="1"/>
    </xf>
    <xf numFmtId="0" fontId="6" fillId="17" borderId="0" xfId="0" applyFont="1" applyFill="1"/>
    <xf numFmtId="0" fontId="6" fillId="17" borderId="0" xfId="0" applyFont="1" applyFill="1" applyAlignment="1">
      <alignment horizontal="left" vertical="top" wrapText="1"/>
    </xf>
    <xf numFmtId="0" fontId="6" fillId="11" borderId="3" xfId="0" applyFont="1" applyFill="1" applyBorder="1" applyAlignment="1">
      <alignment horizontal="left" vertical="center" wrapText="1"/>
    </xf>
    <xf numFmtId="0" fontId="6" fillId="17" borderId="0" xfId="0" applyFont="1" applyFill="1" applyAlignment="1">
      <alignment horizontal="left" vertical="center" wrapText="1"/>
    </xf>
    <xf numFmtId="0" fontId="6" fillId="11" borderId="3" xfId="0" applyFont="1" applyFill="1" applyBorder="1" applyAlignment="1">
      <alignment horizontal="right" wrapText="1"/>
    </xf>
    <xf numFmtId="0" fontId="6" fillId="0" borderId="0" xfId="0" applyFont="1" applyAlignment="1" applyProtection="1">
      <alignment wrapText="1"/>
      <protection hidden="1"/>
    </xf>
    <xf numFmtId="0" fontId="6" fillId="11" borderId="0" xfId="0" quotePrefix="1" applyFont="1" applyFill="1" applyAlignment="1" applyProtection="1">
      <alignment wrapText="1"/>
      <protection hidden="1"/>
    </xf>
    <xf numFmtId="0" fontId="6" fillId="11" borderId="0" xfId="0" applyFont="1" applyFill="1" applyAlignment="1" applyProtection="1">
      <alignment vertical="top" wrapText="1"/>
      <protection hidden="1"/>
    </xf>
    <xf numFmtId="0" fontId="6" fillId="0" borderId="8" xfId="0" applyFont="1" applyBorder="1" applyAlignment="1">
      <alignment vertical="top" wrapText="1"/>
    </xf>
    <xf numFmtId="0" fontId="6" fillId="11" borderId="0" xfId="0" applyFont="1" applyFill="1" applyAlignment="1" applyProtection="1">
      <alignment vertical="center" wrapText="1"/>
      <protection hidden="1"/>
    </xf>
    <xf numFmtId="0" fontId="6" fillId="0" borderId="0" xfId="0" applyFont="1" applyAlignment="1">
      <alignment vertical="top" wrapText="1"/>
    </xf>
    <xf numFmtId="0" fontId="33" fillId="11" borderId="0" xfId="0" applyFont="1" applyFill="1" applyAlignment="1" applyProtection="1">
      <alignment wrapText="1"/>
      <protection hidden="1"/>
    </xf>
    <xf numFmtId="0" fontId="6" fillId="0" borderId="0" xfId="0" applyFont="1" applyProtection="1">
      <protection hidden="1"/>
    </xf>
    <xf numFmtId="0" fontId="6" fillId="17" borderId="0" xfId="0" applyFont="1" applyFill="1" applyAlignment="1">
      <alignment horizontal="right" wrapText="1"/>
    </xf>
    <xf numFmtId="0" fontId="6" fillId="0" borderId="0" xfId="0" applyFont="1" applyAlignment="1" applyProtection="1">
      <alignment horizontal="right" wrapText="1"/>
      <protection hidden="1"/>
    </xf>
    <xf numFmtId="0" fontId="42" fillId="11" borderId="0" xfId="0" applyFont="1" applyFill="1" applyAlignment="1" applyProtection="1">
      <alignment wrapText="1"/>
      <protection hidden="1"/>
    </xf>
    <xf numFmtId="0" fontId="42" fillId="0" borderId="0" xfId="0" applyFont="1" applyAlignment="1" applyProtection="1">
      <alignment wrapText="1"/>
      <protection hidden="1"/>
    </xf>
    <xf numFmtId="49" fontId="6" fillId="11" borderId="0" xfId="0" applyNumberFormat="1" applyFont="1" applyFill="1" applyAlignment="1" applyProtection="1">
      <alignment wrapText="1"/>
      <protection hidden="1"/>
    </xf>
    <xf numFmtId="0" fontId="6" fillId="11" borderId="0" xfId="0" applyFont="1" applyFill="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wrapText="1" indent="2"/>
    </xf>
    <xf numFmtId="9" fontId="21" fillId="3" borderId="8" xfId="4" applyFont="1" applyFill="1" applyBorder="1" applyAlignment="1" applyProtection="1">
      <alignment horizontal="center" vertical="center"/>
      <protection locked="0"/>
    </xf>
    <xf numFmtId="0" fontId="6" fillId="11" borderId="0" xfId="0" applyFont="1" applyFill="1" applyAlignment="1">
      <alignment horizontal="right" vertical="center"/>
    </xf>
    <xf numFmtId="167" fontId="23" fillId="13" borderId="65" xfId="1" applyNumberFormat="1" applyFont="1" applyFill="1" applyBorder="1" applyAlignment="1" applyProtection="1">
      <alignment horizontal="center" vertical="center"/>
    </xf>
    <xf numFmtId="0" fontId="6" fillId="0" borderId="88" xfId="0" applyFont="1" applyBorder="1" applyAlignment="1">
      <alignment horizontal="left" vertical="center"/>
    </xf>
    <xf numFmtId="0" fontId="6" fillId="0" borderId="89" xfId="0" applyFont="1" applyBorder="1" applyAlignment="1">
      <alignment horizontal="left" vertical="center"/>
    </xf>
    <xf numFmtId="0" fontId="6" fillId="0" borderId="9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91" xfId="0" applyFont="1" applyBorder="1" applyAlignment="1">
      <alignment horizontal="left" vertical="center"/>
    </xf>
    <xf numFmtId="0" fontId="6" fillId="0" borderId="88" xfId="0" applyFont="1" applyBorder="1" applyAlignment="1">
      <alignment horizontal="center" vertical="center"/>
    </xf>
    <xf numFmtId="0" fontId="6" fillId="0" borderId="88" xfId="0" applyFont="1" applyBorder="1" applyAlignment="1">
      <alignment horizontal="center" vertical="center" wrapText="1"/>
    </xf>
    <xf numFmtId="0" fontId="6" fillId="0" borderId="92" xfId="0" applyFont="1" applyBorder="1" applyAlignment="1">
      <alignment horizontal="center" vertical="center"/>
    </xf>
    <xf numFmtId="0" fontId="6" fillId="0" borderId="93" xfId="0" applyFont="1" applyBorder="1" applyAlignment="1">
      <alignment horizontal="left" vertical="center"/>
    </xf>
    <xf numFmtId="0" fontId="6" fillId="11" borderId="0" xfId="0" applyFont="1" applyFill="1" applyAlignment="1">
      <alignment horizontal="left" vertical="top" wrapText="1"/>
    </xf>
    <xf numFmtId="0" fontId="6" fillId="11" borderId="17" xfId="0" applyFont="1" applyFill="1" applyBorder="1" applyAlignment="1">
      <alignment horizontal="left" vertical="top" wrapText="1"/>
    </xf>
    <xf numFmtId="0" fontId="41" fillId="19" borderId="3" xfId="0" applyFont="1" applyFill="1" applyBorder="1" applyAlignment="1">
      <alignment horizontal="left" vertical="center"/>
    </xf>
    <xf numFmtId="0" fontId="6" fillId="20" borderId="0" xfId="0" applyFont="1" applyFill="1" applyAlignment="1">
      <alignment vertical="center" wrapText="1"/>
    </xf>
    <xf numFmtId="169" fontId="6" fillId="13" borderId="54" xfId="1" applyNumberFormat="1" applyFont="1" applyFill="1" applyBorder="1" applyAlignment="1" applyProtection="1">
      <alignment horizontal="center" vertical="center"/>
    </xf>
    <xf numFmtId="0" fontId="11" fillId="19" borderId="0" xfId="0" applyFont="1" applyFill="1" applyAlignment="1">
      <alignment vertical="center"/>
    </xf>
    <xf numFmtId="49" fontId="21" fillId="3" borderId="4" xfId="2" applyNumberFormat="1" applyFont="1" applyFill="1" applyBorder="1" applyAlignment="1" applyProtection="1">
      <alignment horizontal="center" vertical="center"/>
      <protection locked="0"/>
    </xf>
    <xf numFmtId="170" fontId="21" fillId="3" borderId="4" xfId="2" applyNumberFormat="1" applyFont="1" applyFill="1" applyBorder="1" applyAlignment="1" applyProtection="1">
      <alignment horizontal="center" vertical="center"/>
      <protection locked="0"/>
    </xf>
    <xf numFmtId="0" fontId="6" fillId="19" borderId="32" xfId="0" applyFont="1" applyFill="1" applyBorder="1" applyAlignment="1">
      <alignment vertical="center"/>
    </xf>
    <xf numFmtId="0" fontId="14" fillId="21" borderId="22" xfId="0" applyFont="1" applyFill="1" applyBorder="1" applyAlignment="1" applyProtection="1">
      <alignment horizontal="left" vertical="center"/>
      <protection hidden="1"/>
    </xf>
    <xf numFmtId="0" fontId="23" fillId="0" borderId="44" xfId="0" applyFont="1" applyFill="1" applyBorder="1" applyAlignment="1">
      <alignment horizontal="left" vertical="center"/>
    </xf>
    <xf numFmtId="0" fontId="23" fillId="0" borderId="0" xfId="0" applyFont="1" applyFill="1" applyAlignment="1">
      <alignment horizontal="left" vertical="center"/>
    </xf>
    <xf numFmtId="0" fontId="6" fillId="0" borderId="0" xfId="0" applyFont="1" applyFill="1" applyAlignment="1" applyProtection="1">
      <alignment vertical="center"/>
      <protection hidden="1"/>
    </xf>
    <xf numFmtId="0" fontId="6" fillId="0" borderId="35" xfId="0" applyFont="1" applyFill="1" applyBorder="1" applyAlignment="1" applyProtection="1">
      <alignment horizontal="center" vertical="center"/>
      <protection hidden="1"/>
    </xf>
    <xf numFmtId="0" fontId="46" fillId="0" borderId="44"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28" xfId="0" applyFont="1" applyFill="1" applyBorder="1" applyAlignment="1">
      <alignment horizontal="left" vertical="center"/>
    </xf>
    <xf numFmtId="0" fontId="6" fillId="0" borderId="28" xfId="0" applyFont="1" applyFill="1" applyBorder="1" applyAlignment="1" applyProtection="1">
      <alignment vertical="center"/>
      <protection hidden="1"/>
    </xf>
    <xf numFmtId="0" fontId="6" fillId="0" borderId="34" xfId="0" applyFont="1" applyFill="1" applyBorder="1" applyAlignment="1" applyProtection="1">
      <alignment horizontal="center" vertical="center"/>
      <protection hidden="1"/>
    </xf>
    <xf numFmtId="164" fontId="22" fillId="22" borderId="8" xfId="2" applyNumberFormat="1" applyFont="1" applyFill="1" applyBorder="1" applyAlignment="1" applyProtection="1">
      <alignment horizontal="center" vertical="center"/>
      <protection hidden="1"/>
    </xf>
    <xf numFmtId="164" fontId="21" fillId="3" borderId="8" xfId="2" applyNumberFormat="1" applyFont="1" applyFill="1" applyBorder="1" applyAlignment="1" applyProtection="1">
      <alignment horizontal="center" vertical="center"/>
      <protection locked="0"/>
    </xf>
    <xf numFmtId="164" fontId="22" fillId="22" borderId="8" xfId="2" applyNumberFormat="1" applyFont="1" applyFill="1" applyBorder="1" applyAlignment="1" applyProtection="1">
      <alignment horizontal="center" vertical="center"/>
    </xf>
    <xf numFmtId="164" fontId="22" fillId="22" borderId="8" xfId="2" applyNumberFormat="1" applyFont="1" applyFill="1" applyBorder="1" applyAlignment="1">
      <alignment horizontal="center" vertical="center"/>
    </xf>
    <xf numFmtId="164" fontId="44" fillId="22" borderId="8" xfId="2" applyNumberFormat="1" applyFont="1" applyFill="1" applyBorder="1" applyAlignment="1">
      <alignment horizontal="center" vertical="center"/>
    </xf>
    <xf numFmtId="164" fontId="21" fillId="3" borderId="28" xfId="2" applyNumberFormat="1" applyFont="1" applyFill="1" applyBorder="1" applyAlignment="1" applyProtection="1">
      <alignment horizontal="center" vertical="center"/>
      <protection locked="0"/>
    </xf>
    <xf numFmtId="0" fontId="14" fillId="21" borderId="22"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29" xfId="0" applyFont="1" applyFill="1" applyBorder="1" applyAlignment="1">
      <alignment horizontal="left" vertical="center"/>
    </xf>
    <xf numFmtId="0" fontId="6" fillId="0" borderId="29" xfId="0" applyFont="1" applyFill="1" applyBorder="1" applyAlignment="1" applyProtection="1">
      <alignment vertical="center"/>
      <protection hidden="1"/>
    </xf>
    <xf numFmtId="0" fontId="6" fillId="0" borderId="63" xfId="0" applyFont="1" applyFill="1" applyBorder="1" applyAlignment="1" applyProtection="1">
      <alignment horizontal="center" vertical="center"/>
      <protection hidden="1"/>
    </xf>
    <xf numFmtId="0" fontId="6" fillId="0" borderId="29" xfId="0" applyFont="1" applyFill="1" applyBorder="1" applyAlignment="1">
      <alignment vertical="center"/>
    </xf>
    <xf numFmtId="0" fontId="6" fillId="0" borderId="0" xfId="0" applyFont="1" applyFill="1" applyAlignment="1">
      <alignment vertical="center"/>
    </xf>
    <xf numFmtId="0" fontId="6" fillId="0" borderId="28" xfId="0" applyFont="1" applyFill="1" applyBorder="1" applyAlignment="1">
      <alignment vertical="center"/>
    </xf>
    <xf numFmtId="0" fontId="23" fillId="0" borderId="84" xfId="0" applyFont="1" applyFill="1" applyBorder="1" applyAlignment="1">
      <alignment horizontal="left" vertical="center"/>
    </xf>
    <xf numFmtId="0" fontId="23" fillId="0" borderId="45" xfId="0" applyFont="1" applyFill="1" applyBorder="1" applyAlignment="1">
      <alignment horizontal="left" vertical="center"/>
    </xf>
    <xf numFmtId="1" fontId="21" fillId="3" borderId="8" xfId="2" applyNumberFormat="1" applyFont="1" applyFill="1" applyBorder="1" applyAlignment="1" applyProtection="1">
      <alignment horizontal="center" vertical="center"/>
      <protection locked="0"/>
    </xf>
    <xf numFmtId="164" fontId="21" fillId="3" borderId="12" xfId="2" applyNumberFormat="1" applyFont="1" applyFill="1" applyBorder="1" applyAlignment="1" applyProtection="1">
      <alignment horizontal="center" vertical="center"/>
      <protection locked="0"/>
    </xf>
    <xf numFmtId="164" fontId="22" fillId="22" borderId="48" xfId="2" applyNumberFormat="1" applyFont="1" applyFill="1" applyBorder="1" applyAlignment="1">
      <alignment horizontal="center" vertical="center"/>
    </xf>
    <xf numFmtId="164" fontId="22" fillId="22" borderId="50" xfId="2" applyNumberFormat="1" applyFont="1" applyFill="1" applyBorder="1" applyAlignment="1">
      <alignment horizontal="center" vertical="center"/>
    </xf>
    <xf numFmtId="167" fontId="22" fillId="23" borderId="29" xfId="2" applyNumberFormat="1" applyFont="1" applyFill="1" applyBorder="1" applyAlignment="1">
      <alignment horizontal="center" vertical="center"/>
    </xf>
    <xf numFmtId="167" fontId="22" fillId="23" borderId="68" xfId="2" applyNumberFormat="1" applyFont="1" applyFill="1" applyBorder="1" applyAlignment="1">
      <alignment horizontal="center" vertical="center"/>
    </xf>
    <xf numFmtId="167" fontId="22" fillId="23" borderId="0" xfId="2" applyNumberFormat="1" applyFont="1" applyFill="1" applyBorder="1" applyAlignment="1">
      <alignment horizontal="center" vertical="center"/>
    </xf>
    <xf numFmtId="167" fontId="22" fillId="23" borderId="18" xfId="2" applyNumberFormat="1" applyFont="1" applyFill="1" applyBorder="1" applyAlignment="1">
      <alignment horizontal="center" vertical="center"/>
    </xf>
    <xf numFmtId="167" fontId="22" fillId="23" borderId="3" xfId="2" applyNumberFormat="1" applyFont="1" applyFill="1" applyBorder="1" applyAlignment="1">
      <alignment horizontal="center" vertical="center"/>
    </xf>
    <xf numFmtId="167" fontId="6" fillId="0" borderId="38" xfId="0" applyNumberFormat="1" applyFont="1" applyFill="1" applyBorder="1" applyAlignment="1">
      <alignment horizontal="center" vertical="center"/>
    </xf>
    <xf numFmtId="165" fontId="6" fillId="0" borderId="38" xfId="0" applyNumberFormat="1" applyFont="1" applyFill="1" applyBorder="1" applyAlignment="1">
      <alignment horizontal="center" vertical="center"/>
    </xf>
    <xf numFmtId="167" fontId="6" fillId="0" borderId="41" xfId="0" applyNumberFormat="1" applyFont="1" applyFill="1" applyBorder="1" applyAlignment="1">
      <alignment horizontal="center" vertical="center"/>
    </xf>
    <xf numFmtId="0" fontId="6" fillId="0" borderId="29" xfId="0" applyFont="1" applyFill="1" applyBorder="1" applyAlignment="1">
      <alignment vertical="top"/>
    </xf>
    <xf numFmtId="0" fontId="45" fillId="17" borderId="0" xfId="0" applyFont="1" applyFill="1"/>
    <xf numFmtId="0" fontId="6" fillId="0" borderId="8" xfId="0" applyFont="1" applyBorder="1" applyAlignment="1">
      <alignment horizontal="center" vertical="center" wrapText="1"/>
    </xf>
    <xf numFmtId="167" fontId="6" fillId="13" borderId="54" xfId="1" applyNumberFormat="1" applyFont="1" applyFill="1" applyBorder="1" applyAlignment="1" applyProtection="1">
      <alignment horizontal="center" vertical="center"/>
    </xf>
    <xf numFmtId="0" fontId="6" fillId="11" borderId="3" xfId="0" applyFont="1" applyFill="1" applyBorder="1" applyAlignment="1" applyProtection="1">
      <alignment wrapText="1"/>
      <protection hidden="1"/>
    </xf>
    <xf numFmtId="0" fontId="6" fillId="11" borderId="3" xfId="0" applyFont="1" applyFill="1" applyBorder="1" applyProtection="1">
      <protection hidden="1"/>
    </xf>
    <xf numFmtId="0" fontId="6" fillId="11" borderId="3" xfId="0" applyFont="1" applyFill="1" applyBorder="1" applyAlignment="1" applyProtection="1">
      <alignment horizontal="left" vertical="center" wrapText="1"/>
      <protection hidden="1"/>
    </xf>
    <xf numFmtId="0" fontId="45" fillId="11" borderId="3" xfId="0" applyFont="1" applyFill="1" applyBorder="1" applyAlignment="1" applyProtection="1">
      <alignment wrapText="1"/>
      <protection hidden="1"/>
    </xf>
    <xf numFmtId="0" fontId="6" fillId="11" borderId="0" xfId="0" applyFont="1" applyFill="1" applyAlignment="1" applyProtection="1">
      <alignment horizontal="center" vertical="center"/>
      <protection hidden="1"/>
    </xf>
    <xf numFmtId="0" fontId="6" fillId="11" borderId="0" xfId="0" applyFont="1" applyFill="1" applyAlignment="1" applyProtection="1">
      <alignment horizontal="center" vertical="center" wrapText="1"/>
      <protection hidden="1"/>
    </xf>
    <xf numFmtId="0" fontId="6" fillId="11" borderId="0" xfId="0" applyFont="1" applyFill="1" applyAlignment="1" applyProtection="1">
      <alignment vertical="top"/>
      <protection hidden="1"/>
    </xf>
    <xf numFmtId="0" fontId="45" fillId="11" borderId="0" xfId="0" applyFont="1" applyFill="1" applyProtection="1">
      <protection hidden="1"/>
    </xf>
    <xf numFmtId="0" fontId="45" fillId="11" borderId="0" xfId="0" applyFont="1" applyFill="1" applyAlignment="1" applyProtection="1">
      <alignment horizontal="center" vertical="center"/>
      <protection hidden="1"/>
    </xf>
    <xf numFmtId="0" fontId="14" fillId="10" borderId="2" xfId="0" applyFont="1" applyFill="1" applyBorder="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33" fillId="10" borderId="35" xfId="0" applyFont="1" applyFill="1" applyBorder="1" applyAlignment="1" applyProtection="1">
      <alignment horizontal="center" vertical="center"/>
      <protection hidden="1"/>
    </xf>
    <xf numFmtId="0" fontId="49" fillId="11" borderId="0" xfId="0" applyFont="1" applyFill="1" applyProtection="1">
      <protection hidden="1"/>
    </xf>
    <xf numFmtId="0" fontId="33" fillId="11" borderId="0" xfId="0" applyFont="1" applyFill="1" applyProtection="1">
      <protection hidden="1"/>
    </xf>
    <xf numFmtId="0" fontId="16" fillId="9" borderId="29" xfId="0" applyFont="1" applyFill="1" applyBorder="1" applyAlignment="1" applyProtection="1">
      <alignment vertical="center"/>
      <protection hidden="1"/>
    </xf>
    <xf numFmtId="0" fontId="16" fillId="9" borderId="73" xfId="0" applyFont="1" applyFill="1" applyBorder="1" applyAlignment="1" applyProtection="1">
      <alignment vertical="center"/>
      <protection hidden="1"/>
    </xf>
    <xf numFmtId="0" fontId="16" fillId="9" borderId="33" xfId="0" applyFont="1" applyFill="1" applyBorder="1" applyAlignment="1" applyProtection="1">
      <alignment vertical="center"/>
      <protection hidden="1"/>
    </xf>
    <xf numFmtId="0" fontId="45" fillId="11" borderId="44" xfId="0" applyFont="1" applyFill="1" applyBorder="1" applyProtection="1">
      <protection hidden="1"/>
    </xf>
    <xf numFmtId="0" fontId="23" fillId="19" borderId="32" xfId="0" applyFont="1" applyFill="1" applyBorder="1" applyAlignment="1" applyProtection="1">
      <alignment horizontal="left" vertical="center"/>
      <protection hidden="1"/>
    </xf>
    <xf numFmtId="0" fontId="23" fillId="19" borderId="37" xfId="0" applyFont="1" applyFill="1" applyBorder="1" applyAlignment="1" applyProtection="1">
      <alignment horizontal="left" vertical="center"/>
      <protection hidden="1"/>
    </xf>
    <xf numFmtId="0" fontId="23" fillId="11" borderId="37" xfId="0" applyFont="1" applyFill="1" applyBorder="1" applyAlignment="1" applyProtection="1">
      <alignment horizontal="left" vertical="center"/>
      <protection hidden="1"/>
    </xf>
    <xf numFmtId="0" fontId="46" fillId="19" borderId="37" xfId="0" applyFont="1" applyFill="1" applyBorder="1" applyAlignment="1" applyProtection="1">
      <alignment horizontal="left" vertical="center"/>
      <protection hidden="1"/>
    </xf>
    <xf numFmtId="0" fontId="6" fillId="11" borderId="44" xfId="0" applyFont="1" applyFill="1" applyBorder="1" applyProtection="1">
      <protection hidden="1"/>
    </xf>
    <xf numFmtId="0" fontId="23" fillId="11" borderId="38" xfId="0" applyFont="1" applyFill="1" applyBorder="1" applyAlignment="1" applyProtection="1">
      <alignment horizontal="left" vertical="center"/>
      <protection hidden="1"/>
    </xf>
    <xf numFmtId="0" fontId="23" fillId="19" borderId="7" xfId="0" applyFont="1" applyFill="1" applyBorder="1" applyAlignment="1" applyProtection="1">
      <alignment horizontal="left" vertical="center"/>
      <protection hidden="1"/>
    </xf>
    <xf numFmtId="0" fontId="23" fillId="19" borderId="4" xfId="0" applyFont="1" applyFill="1" applyBorder="1" applyAlignment="1" applyProtection="1">
      <alignment horizontal="left" vertical="center"/>
      <protection hidden="1"/>
    </xf>
    <xf numFmtId="0" fontId="23" fillId="11" borderId="4" xfId="0" applyFont="1" applyFill="1" applyBorder="1" applyAlignment="1" applyProtection="1">
      <alignment horizontal="left" vertical="center"/>
      <protection hidden="1"/>
    </xf>
    <xf numFmtId="0" fontId="16" fillId="9" borderId="0" xfId="0" applyFont="1" applyFill="1" applyAlignment="1" applyProtection="1">
      <alignment vertical="center"/>
      <protection hidden="1"/>
    </xf>
    <xf numFmtId="0" fontId="16" fillId="9" borderId="78" xfId="0" applyFont="1" applyFill="1" applyBorder="1" applyAlignment="1" applyProtection="1">
      <alignment vertical="center"/>
      <protection hidden="1"/>
    </xf>
    <xf numFmtId="0" fontId="16" fillId="9" borderId="26" xfId="0" applyFont="1" applyFill="1" applyBorder="1" applyAlignment="1" applyProtection="1">
      <alignment vertical="center"/>
      <protection hidden="1"/>
    </xf>
    <xf numFmtId="0" fontId="23" fillId="19" borderId="36" xfId="0" applyFont="1" applyFill="1" applyBorder="1" applyAlignment="1" applyProtection="1">
      <alignment horizontal="left" vertical="center"/>
      <protection hidden="1"/>
    </xf>
    <xf numFmtId="0" fontId="23" fillId="11" borderId="36" xfId="0" applyFont="1" applyFill="1" applyBorder="1" applyAlignment="1" applyProtection="1">
      <alignment horizontal="left" vertical="center"/>
      <protection hidden="1"/>
    </xf>
    <xf numFmtId="0" fontId="16" fillId="9" borderId="74" xfId="0" applyFont="1" applyFill="1" applyBorder="1" applyAlignment="1" applyProtection="1">
      <alignment vertical="center"/>
      <protection hidden="1"/>
    </xf>
    <xf numFmtId="0" fontId="16" fillId="9" borderId="75" xfId="0" applyFont="1" applyFill="1" applyBorder="1" applyAlignment="1" applyProtection="1">
      <alignment vertical="center"/>
      <protection hidden="1"/>
    </xf>
    <xf numFmtId="0" fontId="6" fillId="11" borderId="17" xfId="0" applyFont="1" applyFill="1" applyBorder="1" applyProtection="1">
      <protection hidden="1"/>
    </xf>
    <xf numFmtId="0" fontId="6" fillId="11" borderId="17" xfId="0" applyFont="1" applyFill="1" applyBorder="1" applyAlignment="1" applyProtection="1">
      <alignment wrapText="1"/>
      <protection hidden="1"/>
    </xf>
    <xf numFmtId="0" fontId="11" fillId="16" borderId="0" xfId="0" applyFont="1" applyFill="1" applyAlignment="1" applyProtection="1">
      <alignment horizontal="right" vertical="center"/>
      <protection hidden="1"/>
    </xf>
    <xf numFmtId="0" fontId="6" fillId="20" borderId="0" xfId="0" applyFont="1" applyFill="1" applyAlignment="1" applyProtection="1">
      <alignment vertical="center" wrapText="1"/>
      <protection hidden="1"/>
    </xf>
    <xf numFmtId="0" fontId="6" fillId="17" borderId="0" xfId="0" applyFont="1" applyFill="1" applyAlignment="1" applyProtection="1">
      <alignment wrapText="1"/>
      <protection hidden="1"/>
    </xf>
    <xf numFmtId="0" fontId="6" fillId="17" borderId="0" xfId="0" applyFont="1" applyFill="1" applyProtection="1">
      <protection hidden="1"/>
    </xf>
    <xf numFmtId="0" fontId="6" fillId="17" borderId="0" xfId="0" applyFont="1" applyFill="1" applyAlignment="1" applyProtection="1">
      <alignment horizontal="left" vertical="center" wrapText="1"/>
      <protection hidden="1"/>
    </xf>
    <xf numFmtId="0" fontId="6" fillId="11" borderId="3" xfId="0" applyFont="1" applyFill="1" applyBorder="1" applyAlignment="1" applyProtection="1">
      <alignment wrapText="1"/>
    </xf>
    <xf numFmtId="0" fontId="41" fillId="19" borderId="3" xfId="0" applyFont="1" applyFill="1" applyBorder="1" applyAlignment="1" applyProtection="1">
      <alignment horizontal="left" vertical="center"/>
    </xf>
    <xf numFmtId="0" fontId="6" fillId="11" borderId="3" xfId="0" applyFont="1" applyFill="1" applyBorder="1" applyProtection="1"/>
    <xf numFmtId="0" fontId="6" fillId="11" borderId="3" xfId="0" applyFont="1" applyFill="1" applyBorder="1" applyAlignment="1" applyProtection="1">
      <alignment vertical="top"/>
    </xf>
    <xf numFmtId="0" fontId="6" fillId="11" borderId="0" xfId="0" applyFont="1" applyFill="1" applyAlignment="1" applyProtection="1">
      <alignment wrapText="1"/>
    </xf>
    <xf numFmtId="0" fontId="6" fillId="11" borderId="0" xfId="0" applyFont="1" applyFill="1" applyAlignment="1" applyProtection="1">
      <alignment horizontal="center" vertical="center"/>
    </xf>
    <xf numFmtId="0" fontId="6" fillId="11" borderId="0" xfId="0" applyFont="1" applyFill="1" applyAlignment="1" applyProtection="1">
      <alignment horizontal="center" vertical="center" wrapText="1"/>
    </xf>
    <xf numFmtId="0" fontId="6" fillId="11" borderId="0" xfId="0" applyFont="1" applyFill="1" applyAlignment="1" applyProtection="1">
      <alignment vertical="top"/>
    </xf>
    <xf numFmtId="0" fontId="33" fillId="11" borderId="0" xfId="0" applyFont="1" applyFill="1" applyAlignment="1" applyProtection="1">
      <alignment wrapText="1"/>
    </xf>
    <xf numFmtId="0" fontId="14" fillId="8" borderId="4" xfId="0" applyFont="1" applyFill="1" applyBorder="1" applyAlignment="1" applyProtection="1">
      <alignment vertical="center"/>
    </xf>
    <xf numFmtId="0" fontId="6" fillId="11" borderId="0" xfId="0" applyFont="1" applyFill="1" applyProtection="1"/>
    <xf numFmtId="0" fontId="11" fillId="11" borderId="0" xfId="0" applyFont="1" applyFill="1" applyAlignment="1" applyProtection="1">
      <alignment vertical="center"/>
    </xf>
    <xf numFmtId="0" fontId="14" fillId="8" borderId="22" xfId="0" applyFont="1" applyFill="1" applyBorder="1" applyAlignment="1" applyProtection="1">
      <alignment horizontal="center" vertical="center"/>
    </xf>
    <xf numFmtId="0" fontId="14" fillId="8" borderId="2" xfId="0" applyFont="1" applyFill="1" applyBorder="1" applyAlignment="1" applyProtection="1">
      <alignment horizontal="center" vertical="center" wrapText="1"/>
    </xf>
    <xf numFmtId="0" fontId="14" fillId="8" borderId="23" xfId="0" applyFont="1" applyFill="1" applyBorder="1" applyAlignment="1" applyProtection="1">
      <alignment horizontal="center" vertical="center" wrapText="1"/>
    </xf>
    <xf numFmtId="0" fontId="14" fillId="8" borderId="23" xfId="0" applyFont="1" applyFill="1" applyBorder="1" applyAlignment="1" applyProtection="1">
      <alignment horizontal="center" vertical="center"/>
    </xf>
    <xf numFmtId="0" fontId="14" fillId="8" borderId="24" xfId="0" applyFont="1" applyFill="1" applyBorder="1" applyAlignment="1" applyProtection="1">
      <alignment horizontal="center" vertical="top"/>
    </xf>
    <xf numFmtId="0" fontId="16" fillId="9" borderId="75" xfId="0" applyFont="1" applyFill="1" applyBorder="1" applyAlignment="1" applyProtection="1">
      <alignment horizontal="left" vertical="center"/>
    </xf>
    <xf numFmtId="0" fontId="16" fillId="9" borderId="25" xfId="0" applyFont="1" applyFill="1" applyBorder="1" applyAlignment="1" applyProtection="1">
      <alignment vertical="center" wrapText="1"/>
    </xf>
    <xf numFmtId="0" fontId="16" fillId="9" borderId="25" xfId="0" applyFont="1" applyFill="1" applyBorder="1" applyAlignment="1" applyProtection="1">
      <alignment vertical="center"/>
    </xf>
    <xf numFmtId="0" fontId="16" fillId="9" borderId="46" xfId="0" applyFont="1" applyFill="1" applyBorder="1" applyAlignment="1" applyProtection="1">
      <alignment vertical="top"/>
    </xf>
    <xf numFmtId="0" fontId="23" fillId="11" borderId="36" xfId="0" applyFont="1" applyFill="1" applyBorder="1" applyAlignment="1" applyProtection="1">
      <alignment horizontal="center" vertical="center" wrapText="1"/>
    </xf>
    <xf numFmtId="0" fontId="34" fillId="11" borderId="40" xfId="0" applyFont="1" applyFill="1" applyBorder="1" applyAlignment="1" applyProtection="1">
      <alignment vertical="top" wrapText="1"/>
    </xf>
    <xf numFmtId="0" fontId="34" fillId="11" borderId="21" xfId="0" applyFont="1" applyFill="1" applyBorder="1" applyAlignment="1" applyProtection="1">
      <alignment vertical="top" wrapText="1"/>
    </xf>
    <xf numFmtId="0" fontId="23" fillId="11" borderId="4"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16" fillId="9" borderId="74" xfId="0" applyFont="1" applyFill="1" applyBorder="1" applyAlignment="1" applyProtection="1">
      <alignment vertical="center" wrapText="1"/>
    </xf>
    <xf numFmtId="0" fontId="16" fillId="9" borderId="79" xfId="0" applyFont="1" applyFill="1" applyBorder="1" applyAlignment="1" applyProtection="1">
      <alignment vertical="center"/>
    </xf>
    <xf numFmtId="0" fontId="16" fillId="9" borderId="2" xfId="0" applyFont="1" applyFill="1" applyBorder="1" applyAlignment="1" applyProtection="1">
      <alignment vertical="center"/>
    </xf>
    <xf numFmtId="0" fontId="34" fillId="11" borderId="57" xfId="0" applyFont="1" applyFill="1" applyBorder="1" applyAlignment="1" applyProtection="1">
      <alignment vertical="top" wrapText="1"/>
    </xf>
    <xf numFmtId="0" fontId="23" fillId="11" borderId="5" xfId="0" applyFont="1" applyFill="1" applyBorder="1" applyAlignment="1" applyProtection="1">
      <alignment horizontal="center" vertical="center" wrapText="1"/>
    </xf>
    <xf numFmtId="0" fontId="23" fillId="11" borderId="70" xfId="0" applyFont="1" applyFill="1" applyBorder="1" applyAlignment="1" applyProtection="1">
      <alignment horizontal="center" vertical="center" wrapText="1"/>
    </xf>
    <xf numFmtId="0" fontId="23" fillId="11" borderId="65" xfId="0" applyFont="1" applyFill="1" applyBorder="1" applyAlignment="1" applyProtection="1">
      <alignment horizontal="center" vertical="center"/>
    </xf>
    <xf numFmtId="0" fontId="23" fillId="11" borderId="59" xfId="0" applyFont="1" applyFill="1" applyBorder="1" applyAlignment="1" applyProtection="1">
      <alignment horizontal="center" vertical="center" wrapText="1"/>
    </xf>
    <xf numFmtId="0" fontId="34" fillId="11" borderId="60" xfId="0" applyFont="1" applyFill="1" applyBorder="1" applyAlignment="1" applyProtection="1">
      <alignment vertical="top" wrapText="1"/>
    </xf>
    <xf numFmtId="0" fontId="16" fillId="9" borderId="2" xfId="0" applyFont="1" applyFill="1" applyBorder="1" applyAlignment="1" applyProtection="1">
      <alignment vertical="center" wrapText="1"/>
    </xf>
    <xf numFmtId="0" fontId="16" fillId="9" borderId="79" xfId="0" applyFont="1" applyFill="1" applyBorder="1" applyAlignment="1" applyProtection="1">
      <alignment vertical="center" wrapText="1"/>
    </xf>
    <xf numFmtId="0" fontId="16" fillId="9" borderId="16" xfId="0" applyFont="1" applyFill="1" applyBorder="1" applyAlignment="1" applyProtection="1">
      <alignment vertical="top"/>
    </xf>
    <xf numFmtId="0" fontId="23" fillId="11" borderId="53" xfId="0" applyFont="1" applyFill="1" applyBorder="1" applyAlignment="1" applyProtection="1">
      <alignment horizontal="center" vertical="center" wrapText="1"/>
    </xf>
    <xf numFmtId="0" fontId="23" fillId="11" borderId="55" xfId="0" applyFont="1" applyFill="1" applyBorder="1" applyAlignment="1" applyProtection="1">
      <alignment horizontal="center" vertical="center" wrapText="1"/>
    </xf>
    <xf numFmtId="0" fontId="23" fillId="11" borderId="56" xfId="0" applyFont="1" applyFill="1" applyBorder="1" applyAlignment="1" applyProtection="1">
      <alignment horizontal="center" vertical="center" wrapText="1"/>
    </xf>
    <xf numFmtId="0" fontId="23" fillId="11" borderId="56" xfId="0" applyFont="1" applyFill="1" applyBorder="1" applyAlignment="1" applyProtection="1">
      <alignment horizontal="center" vertical="center"/>
    </xf>
    <xf numFmtId="0" fontId="23" fillId="0" borderId="56" xfId="0" applyFont="1" applyBorder="1" applyAlignment="1" applyProtection="1">
      <alignment horizontal="center" vertical="center" wrapText="1"/>
    </xf>
    <xf numFmtId="0" fontId="35" fillId="11" borderId="21" xfId="0" applyFont="1" applyFill="1" applyBorder="1" applyAlignment="1" applyProtection="1">
      <alignment vertical="top" wrapText="1"/>
    </xf>
    <xf numFmtId="0" fontId="36" fillId="11" borderId="21" xfId="0" applyFont="1" applyFill="1" applyBorder="1" applyAlignment="1" applyProtection="1">
      <alignment vertical="top" wrapText="1"/>
    </xf>
    <xf numFmtId="0" fontId="23" fillId="11" borderId="66" xfId="0" applyFont="1" applyFill="1" applyBorder="1" applyAlignment="1" applyProtection="1">
      <alignment horizontal="center" vertical="center"/>
    </xf>
    <xf numFmtId="0" fontId="34" fillId="11" borderId="68" xfId="0" applyFont="1" applyFill="1" applyBorder="1" applyAlignment="1" applyProtection="1">
      <alignment vertical="top" wrapText="1"/>
    </xf>
    <xf numFmtId="0" fontId="23" fillId="11" borderId="29" xfId="0" applyFont="1" applyFill="1" applyBorder="1" applyAlignment="1" applyProtection="1">
      <alignment horizontal="center" vertical="center"/>
    </xf>
    <xf numFmtId="0" fontId="23" fillId="11" borderId="63" xfId="0" applyFont="1" applyFill="1" applyBorder="1" applyAlignment="1" applyProtection="1">
      <alignment horizontal="center" vertical="center" wrapText="1"/>
    </xf>
    <xf numFmtId="0" fontId="16" fillId="9" borderId="74" xfId="0" applyFont="1" applyFill="1" applyBorder="1" applyAlignment="1" applyProtection="1">
      <alignment vertical="center"/>
    </xf>
    <xf numFmtId="0" fontId="23" fillId="11" borderId="33" xfId="0" applyFont="1" applyFill="1" applyBorder="1" applyAlignment="1" applyProtection="1">
      <alignment horizontal="center" vertical="center" wrapText="1"/>
    </xf>
    <xf numFmtId="0" fontId="23" fillId="11" borderId="28" xfId="0" applyFont="1" applyFill="1" applyBorder="1" applyAlignment="1" applyProtection="1">
      <alignment horizontal="center" vertical="center"/>
    </xf>
    <xf numFmtId="0" fontId="35" fillId="11" borderId="40" xfId="0" applyFont="1" applyFill="1" applyBorder="1" applyAlignment="1" applyProtection="1">
      <alignment vertical="top" wrapText="1"/>
    </xf>
    <xf numFmtId="0" fontId="23" fillId="0" borderId="4" xfId="0" applyFont="1" applyBorder="1" applyAlignment="1" applyProtection="1">
      <alignment horizontal="center" vertical="center" wrapText="1"/>
    </xf>
    <xf numFmtId="0" fontId="23" fillId="11" borderId="73" xfId="0" applyFont="1" applyFill="1" applyBorder="1" applyAlignment="1" applyProtection="1">
      <alignment horizontal="center" vertical="center" wrapText="1"/>
    </xf>
    <xf numFmtId="0" fontId="37" fillId="11" borderId="21" xfId="0" applyFont="1" applyFill="1" applyBorder="1" applyAlignment="1" applyProtection="1">
      <alignment vertical="top" wrapText="1"/>
    </xf>
    <xf numFmtId="0" fontId="6" fillId="11" borderId="44" xfId="0" applyFont="1" applyFill="1" applyBorder="1" applyAlignment="1" applyProtection="1">
      <alignment horizontal="center" vertical="center" wrapText="1"/>
    </xf>
    <xf numFmtId="0" fontId="6" fillId="11" borderId="56" xfId="0" applyFont="1" applyFill="1" applyBorder="1" applyAlignment="1" applyProtection="1">
      <alignment horizontal="center" vertical="center"/>
    </xf>
    <xf numFmtId="169" fontId="6" fillId="13" borderId="65" xfId="1" applyNumberFormat="1" applyFont="1" applyFill="1" applyBorder="1" applyAlignment="1" applyProtection="1">
      <alignment horizontal="center" vertical="center"/>
    </xf>
    <xf numFmtId="0" fontId="6" fillId="11" borderId="4" xfId="0" applyFont="1" applyFill="1" applyBorder="1" applyAlignment="1" applyProtection="1">
      <alignment horizontal="center" vertical="center" wrapText="1"/>
    </xf>
    <xf numFmtId="0" fontId="6" fillId="11" borderId="5"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32" xfId="0" applyFont="1" applyFill="1" applyBorder="1" applyAlignment="1" applyProtection="1">
      <alignment horizontal="center" vertical="center" wrapText="1"/>
    </xf>
    <xf numFmtId="0" fontId="6" fillId="11" borderId="70" xfId="0" applyFont="1" applyFill="1" applyBorder="1" applyAlignment="1" applyProtection="1">
      <alignment horizontal="center" vertical="center"/>
    </xf>
    <xf numFmtId="0" fontId="6" fillId="11" borderId="19" xfId="0" applyFont="1" applyFill="1" applyBorder="1" applyAlignment="1" applyProtection="1">
      <alignment horizontal="center" vertical="center" wrapText="1"/>
    </xf>
    <xf numFmtId="0" fontId="6" fillId="11" borderId="76" xfId="0" applyFont="1" applyFill="1" applyBorder="1" applyAlignment="1" applyProtection="1">
      <alignment horizontal="center" vertical="center" wrapText="1"/>
    </xf>
    <xf numFmtId="0" fontId="6" fillId="11" borderId="59" xfId="0" applyFont="1" applyFill="1" applyBorder="1" applyAlignment="1" applyProtection="1">
      <alignment horizontal="center" vertical="center" wrapText="1"/>
    </xf>
    <xf numFmtId="0" fontId="6" fillId="11" borderId="94" xfId="0" applyFont="1" applyFill="1" applyBorder="1" applyAlignment="1" applyProtection="1">
      <alignment horizontal="center" vertical="center"/>
    </xf>
    <xf numFmtId="0" fontId="36" fillId="11" borderId="20" xfId="0" applyFont="1" applyFill="1" applyBorder="1" applyAlignment="1" applyProtection="1">
      <alignment vertical="top" wrapText="1"/>
    </xf>
    <xf numFmtId="0" fontId="16" fillId="9" borderId="15" xfId="0" applyFont="1" applyFill="1" applyBorder="1" applyAlignment="1" applyProtection="1">
      <alignment horizontal="left" vertical="center"/>
    </xf>
    <xf numFmtId="0" fontId="47" fillId="9" borderId="79" xfId="0" applyFont="1" applyFill="1" applyBorder="1" applyAlignment="1" applyProtection="1">
      <alignment vertical="center" wrapText="1"/>
    </xf>
    <xf numFmtId="0" fontId="16" fillId="9" borderId="2" xfId="0" applyFont="1" applyFill="1" applyBorder="1" applyAlignment="1" applyProtection="1">
      <alignment vertical="top"/>
    </xf>
    <xf numFmtId="0" fontId="6" fillId="11" borderId="35" xfId="0" applyFont="1" applyFill="1" applyBorder="1" applyAlignment="1" applyProtection="1">
      <alignment wrapText="1"/>
    </xf>
    <xf numFmtId="0" fontId="23" fillId="11" borderId="53" xfId="0" applyFont="1" applyFill="1" applyBorder="1" applyAlignment="1" applyProtection="1">
      <alignment horizontal="center" vertical="center"/>
    </xf>
    <xf numFmtId="0" fontId="46" fillId="11" borderId="36" xfId="0" applyFont="1" applyFill="1" applyBorder="1" applyAlignment="1" applyProtection="1">
      <alignment horizontal="center" vertical="center" wrapText="1"/>
    </xf>
    <xf numFmtId="0" fontId="23" fillId="11" borderId="28" xfId="0" applyFont="1" applyFill="1" applyBorder="1" applyAlignment="1" applyProtection="1">
      <alignment horizontal="center" vertical="center" wrapText="1"/>
    </xf>
    <xf numFmtId="0" fontId="34" fillId="11" borderId="80" xfId="0" applyFont="1" applyFill="1" applyBorder="1" applyAlignment="1" applyProtection="1">
      <alignment vertical="top" wrapText="1"/>
    </xf>
    <xf numFmtId="0" fontId="23" fillId="11" borderId="5" xfId="0" applyFont="1" applyFill="1" applyBorder="1" applyAlignment="1" applyProtection="1">
      <alignment horizontal="center" vertical="center"/>
    </xf>
    <xf numFmtId="0" fontId="46" fillId="11" borderId="4" xfId="0" applyFont="1" applyFill="1" applyBorder="1" applyAlignment="1" applyProtection="1">
      <alignment horizontal="center" vertical="center" wrapText="1"/>
    </xf>
    <xf numFmtId="0" fontId="23" fillId="11" borderId="8" xfId="0" applyFont="1" applyFill="1" applyBorder="1" applyAlignment="1" applyProtection="1">
      <alignment horizontal="center" vertical="center" wrapText="1"/>
    </xf>
    <xf numFmtId="0" fontId="23" fillId="11" borderId="19" xfId="0" applyFont="1" applyFill="1" applyBorder="1" applyAlignment="1" applyProtection="1">
      <alignment horizontal="center" vertical="center"/>
    </xf>
    <xf numFmtId="0" fontId="46" fillId="11" borderId="41" xfId="0" applyFont="1" applyFill="1" applyBorder="1" applyAlignment="1" applyProtection="1">
      <alignment horizontal="center" vertical="center" wrapText="1"/>
    </xf>
    <xf numFmtId="0" fontId="23" fillId="11" borderId="3" xfId="0" applyFont="1" applyFill="1" applyBorder="1" applyAlignment="1" applyProtection="1">
      <alignment horizontal="center" vertical="center" wrapText="1"/>
    </xf>
    <xf numFmtId="0" fontId="34" fillId="11" borderId="20" xfId="0" applyFont="1" applyFill="1" applyBorder="1" applyAlignment="1" applyProtection="1">
      <alignment vertical="top" wrapText="1"/>
    </xf>
    <xf numFmtId="0" fontId="14" fillId="17" borderId="0" xfId="0" applyFont="1" applyFill="1" applyAlignment="1" applyProtection="1">
      <alignment horizontal="left" vertical="center"/>
    </xf>
    <xf numFmtId="0" fontId="6" fillId="17" borderId="0" xfId="0" applyFont="1" applyFill="1" applyAlignment="1" applyProtection="1">
      <alignment wrapText="1"/>
    </xf>
    <xf numFmtId="0" fontId="6" fillId="17" borderId="0" xfId="0" applyFont="1" applyFill="1" applyProtection="1"/>
    <xf numFmtId="0" fontId="6" fillId="17" borderId="0" xfId="0" applyFont="1" applyFill="1" applyAlignment="1" applyProtection="1">
      <alignment vertical="top"/>
    </xf>
    <xf numFmtId="0" fontId="23" fillId="11" borderId="58" xfId="0" applyFont="1" applyFill="1" applyBorder="1" applyAlignment="1" applyProtection="1">
      <alignment vertical="center" wrapText="1"/>
    </xf>
    <xf numFmtId="164" fontId="43" fillId="22" borderId="8" xfId="2" applyNumberFormat="1" applyFont="1" applyFill="1" applyBorder="1" applyAlignment="1" applyProtection="1">
      <alignment horizontal="center" vertical="center"/>
    </xf>
    <xf numFmtId="1" fontId="21" fillId="12" borderId="28" xfId="2" applyNumberFormat="1" applyFont="1" applyFill="1" applyBorder="1" applyAlignment="1" applyProtection="1">
      <alignment horizontal="center" vertical="center"/>
      <protection locked="0"/>
    </xf>
    <xf numFmtId="1" fontId="21" fillId="12" borderId="8" xfId="2" applyNumberFormat="1" applyFont="1" applyFill="1" applyBorder="1" applyAlignment="1" applyProtection="1">
      <alignment horizontal="center" vertical="center"/>
      <protection locked="0"/>
    </xf>
    <xf numFmtId="167" fontId="6" fillId="0" borderId="4" xfId="2" applyNumberFormat="1" applyFont="1" applyFill="1" applyBorder="1" applyAlignment="1">
      <alignment horizontal="left" vertical="top" wrapText="1"/>
    </xf>
    <xf numFmtId="0" fontId="23" fillId="11" borderId="44" xfId="0" applyFont="1" applyFill="1" applyBorder="1" applyAlignment="1" applyProtection="1">
      <alignment horizontal="center" vertical="center" wrapText="1"/>
    </xf>
    <xf numFmtId="0" fontId="23" fillId="11" borderId="35" xfId="0" applyFont="1" applyFill="1" applyBorder="1" applyAlignment="1" applyProtection="1">
      <alignment horizontal="center" vertical="center"/>
    </xf>
    <xf numFmtId="0" fontId="0" fillId="11" borderId="0" xfId="0" applyFill="1" applyBorder="1"/>
    <xf numFmtId="0" fontId="16" fillId="11" borderId="8" xfId="0" applyFont="1" applyFill="1" applyBorder="1" applyAlignment="1" applyProtection="1">
      <alignment horizontal="right" vertical="center" wrapText="1"/>
      <protection hidden="1"/>
    </xf>
    <xf numFmtId="0" fontId="6" fillId="11" borderId="44" xfId="0" applyFont="1" applyFill="1" applyBorder="1" applyAlignment="1">
      <alignment wrapText="1"/>
    </xf>
    <xf numFmtId="0" fontId="11" fillId="11" borderId="28" xfId="0" applyFont="1" applyFill="1" applyBorder="1"/>
    <xf numFmtId="0" fontId="0" fillId="11" borderId="28" xfId="0" applyFill="1" applyBorder="1"/>
    <xf numFmtId="0" fontId="6" fillId="11" borderId="0" xfId="0" applyFont="1" applyFill="1" applyAlignment="1">
      <alignment horizontal="left" vertical="top" wrapText="1"/>
    </xf>
    <xf numFmtId="167" fontId="6" fillId="0" borderId="4" xfId="2" applyNumberFormat="1" applyFont="1" applyFill="1" applyBorder="1" applyAlignment="1">
      <alignment horizontal="left" vertical="top" wrapText="1"/>
    </xf>
    <xf numFmtId="0" fontId="23" fillId="11" borderId="37" xfId="0" applyFont="1" applyFill="1" applyBorder="1" applyAlignment="1" applyProtection="1">
      <alignment horizontal="center" vertical="center" wrapText="1"/>
    </xf>
    <xf numFmtId="0" fontId="23" fillId="11" borderId="38" xfId="0" applyFont="1" applyFill="1" applyBorder="1" applyAlignment="1" applyProtection="1">
      <alignment horizontal="center" vertical="center" wrapText="1"/>
    </xf>
    <xf numFmtId="0" fontId="23" fillId="11" borderId="36" xfId="0" applyFont="1" applyFill="1" applyBorder="1" applyAlignment="1" applyProtection="1">
      <alignment horizontal="center" vertical="center" wrapText="1"/>
    </xf>
    <xf numFmtId="0" fontId="23" fillId="11" borderId="58" xfId="0" applyFont="1" applyFill="1" applyBorder="1" applyAlignment="1" applyProtection="1">
      <alignment horizontal="center" vertical="center" wrapText="1"/>
    </xf>
    <xf numFmtId="0" fontId="23" fillId="11" borderId="61" xfId="0" applyFont="1" applyFill="1" applyBorder="1" applyAlignment="1" applyProtection="1">
      <alignment horizontal="center" vertical="center" wrapText="1"/>
    </xf>
    <xf numFmtId="0" fontId="23" fillId="11" borderId="55" xfId="0" applyFont="1" applyFill="1" applyBorder="1" applyAlignment="1" applyProtection="1">
      <alignment horizontal="center" vertical="center"/>
    </xf>
    <xf numFmtId="0" fontId="23" fillId="11" borderId="32" xfId="0" applyFont="1" applyFill="1" applyBorder="1" applyAlignment="1" applyProtection="1">
      <alignment horizontal="center" vertical="center" wrapText="1"/>
    </xf>
    <xf numFmtId="0" fontId="6" fillId="11" borderId="37" xfId="0" applyFont="1" applyFill="1" applyBorder="1" applyAlignment="1" applyProtection="1">
      <alignment horizontal="center" vertical="center" wrapText="1"/>
    </xf>
    <xf numFmtId="0" fontId="6" fillId="11" borderId="38" xfId="0" applyFont="1" applyFill="1" applyBorder="1" applyAlignment="1" applyProtection="1">
      <alignment horizontal="center" vertical="center" wrapText="1"/>
    </xf>
    <xf numFmtId="0" fontId="6" fillId="11" borderId="36" xfId="0" applyFont="1" applyFill="1" applyBorder="1" applyAlignment="1" applyProtection="1">
      <alignment horizontal="center" vertical="center" wrapText="1"/>
    </xf>
    <xf numFmtId="0" fontId="23" fillId="11"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left" vertical="top" wrapText="1"/>
      <protection hidden="1"/>
    </xf>
    <xf numFmtId="0" fontId="34" fillId="0" borderId="21" xfId="0" applyFont="1" applyFill="1" applyBorder="1" applyAlignment="1" applyProtection="1">
      <alignment vertical="top" wrapText="1"/>
    </xf>
    <xf numFmtId="0" fontId="23" fillId="0" borderId="5" xfId="0" applyFont="1" applyBorder="1" applyAlignment="1" applyProtection="1">
      <alignment vertical="center" wrapText="1"/>
      <protection hidden="1"/>
    </xf>
    <xf numFmtId="0" fontId="23" fillId="0" borderId="8"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3" fillId="0" borderId="5" xfId="0" applyFont="1" applyBorder="1" applyAlignment="1">
      <alignment vertical="center" wrapText="1"/>
    </xf>
    <xf numFmtId="0" fontId="23" fillId="0" borderId="87" xfId="0" applyFont="1" applyBorder="1" applyAlignment="1">
      <alignment vertical="center" wrapText="1"/>
    </xf>
    <xf numFmtId="0" fontId="6" fillId="0" borderId="0" xfId="0" applyFont="1" applyFill="1" applyAlignment="1">
      <alignment vertical="center" wrapText="1"/>
    </xf>
    <xf numFmtId="0" fontId="6" fillId="0" borderId="35" xfId="0" applyFont="1" applyFill="1" applyBorder="1" applyAlignment="1" applyProtection="1">
      <alignment horizontal="center" vertical="center" wrapText="1"/>
      <protection hidden="1"/>
    </xf>
    <xf numFmtId="0" fontId="23" fillId="0" borderId="95" xfId="0" applyFont="1" applyFill="1" applyBorder="1" applyAlignment="1">
      <alignment horizontal="left" vertical="center"/>
    </xf>
    <xf numFmtId="0" fontId="23" fillId="0" borderId="0" xfId="0" applyFont="1" applyFill="1" applyBorder="1" applyAlignment="1">
      <alignment horizontal="left" vertical="center"/>
    </xf>
    <xf numFmtId="0" fontId="6" fillId="0" borderId="0" xfId="0" applyFont="1" applyFill="1" applyBorder="1" applyAlignment="1" applyProtection="1">
      <alignment vertical="center"/>
      <protection hidden="1"/>
    </xf>
    <xf numFmtId="0" fontId="6" fillId="0" borderId="0" xfId="0" applyFont="1" applyFill="1" applyBorder="1" applyAlignment="1">
      <alignment vertical="center"/>
    </xf>
    <xf numFmtId="0" fontId="23" fillId="0" borderId="96" xfId="0" applyFont="1" applyFill="1" applyBorder="1" applyAlignment="1">
      <alignment horizontal="left" vertical="center"/>
    </xf>
    <xf numFmtId="0" fontId="6" fillId="11" borderId="32" xfId="0" applyFont="1" applyFill="1" applyBorder="1" applyAlignment="1">
      <alignment vertical="center"/>
    </xf>
    <xf numFmtId="0" fontId="6" fillId="11" borderId="63" xfId="0" applyFont="1" applyFill="1" applyBorder="1" applyAlignment="1">
      <alignment vertical="center"/>
    </xf>
    <xf numFmtId="0" fontId="6" fillId="11" borderId="44" xfId="0" applyFont="1" applyFill="1" applyBorder="1" applyAlignment="1">
      <alignment vertical="center" wrapText="1"/>
    </xf>
    <xf numFmtId="0" fontId="23" fillId="11" borderId="35" xfId="0" applyFont="1" applyFill="1" applyBorder="1" applyAlignment="1">
      <alignment vertical="center" wrapText="1"/>
    </xf>
    <xf numFmtId="0" fontId="6" fillId="11" borderId="33" xfId="0" applyFont="1" applyFill="1" applyBorder="1" applyAlignment="1">
      <alignment vertical="center"/>
    </xf>
    <xf numFmtId="0" fontId="6" fillId="11" borderId="34" xfId="0" applyFont="1" applyFill="1" applyBorder="1" applyAlignment="1">
      <alignment vertical="center"/>
    </xf>
    <xf numFmtId="0" fontId="6" fillId="11" borderId="32" xfId="0" applyFont="1" applyFill="1" applyBorder="1" applyAlignment="1">
      <alignment vertical="top"/>
    </xf>
    <xf numFmtId="0" fontId="6" fillId="0" borderId="63" xfId="0" applyFont="1" applyFill="1" applyBorder="1" applyAlignment="1">
      <alignment vertical="top"/>
    </xf>
    <xf numFmtId="0" fontId="6" fillId="11" borderId="44" xfId="0" applyFont="1" applyFill="1" applyBorder="1" applyAlignment="1">
      <alignment vertical="top"/>
    </xf>
    <xf numFmtId="0" fontId="6" fillId="11" borderId="33" xfId="0" applyFont="1" applyFill="1" applyBorder="1" applyAlignment="1">
      <alignment vertical="top"/>
    </xf>
    <xf numFmtId="0" fontId="6" fillId="0" borderId="8" xfId="0" applyFont="1" applyFill="1" applyBorder="1" applyAlignment="1">
      <alignment vertical="top"/>
    </xf>
    <xf numFmtId="0" fontId="6" fillId="0" borderId="6" xfId="0" applyFont="1" applyFill="1" applyBorder="1" applyAlignment="1">
      <alignment vertical="top"/>
    </xf>
    <xf numFmtId="0" fontId="6" fillId="24" borderId="5" xfId="0" applyFont="1" applyFill="1" applyBorder="1" applyAlignment="1">
      <alignment vertical="center" wrapText="1"/>
    </xf>
    <xf numFmtId="0" fontId="6" fillId="24" borderId="8" xfId="0" applyFont="1" applyFill="1" applyBorder="1" applyAlignment="1">
      <alignment vertical="center" wrapText="1"/>
    </xf>
    <xf numFmtId="0" fontId="6" fillId="24" borderId="21" xfId="0" applyFont="1" applyFill="1" applyBorder="1" applyAlignment="1">
      <alignment vertical="center" wrapText="1"/>
    </xf>
    <xf numFmtId="0" fontId="6" fillId="24" borderId="5" xfId="0" applyFont="1" applyFill="1" applyBorder="1" applyAlignment="1">
      <alignment vertical="center"/>
    </xf>
    <xf numFmtId="0" fontId="6" fillId="24" borderId="8" xfId="0" applyFont="1" applyFill="1" applyBorder="1" applyAlignment="1">
      <alignment vertical="center"/>
    </xf>
    <xf numFmtId="0" fontId="6" fillId="24" borderId="21" xfId="0" applyFont="1" applyFill="1" applyBorder="1" applyAlignment="1">
      <alignment vertical="center"/>
    </xf>
    <xf numFmtId="0" fontId="14" fillId="9" borderId="97" xfId="0" applyFont="1" applyFill="1" applyBorder="1" applyAlignment="1" applyProtection="1">
      <alignment horizontal="center" vertical="center" wrapText="1"/>
      <protection hidden="1"/>
    </xf>
    <xf numFmtId="167" fontId="23" fillId="13" borderId="34" xfId="1" applyNumberFormat="1" applyFont="1" applyFill="1" applyBorder="1" applyAlignment="1" applyProtection="1">
      <alignment horizontal="center" vertical="center"/>
    </xf>
    <xf numFmtId="167" fontId="23" fillId="13" borderId="99" xfId="1" applyNumberFormat="1" applyFont="1" applyFill="1" applyBorder="1" applyAlignment="1" applyProtection="1">
      <alignment horizontal="center" vertical="center"/>
    </xf>
    <xf numFmtId="0" fontId="23" fillId="11" borderId="4" xfId="0" applyFont="1" applyFill="1" applyBorder="1" applyAlignment="1" applyProtection="1">
      <alignment horizontal="center" vertical="center"/>
    </xf>
    <xf numFmtId="0" fontId="23" fillId="0" borderId="58"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xf>
    <xf numFmtId="0" fontId="23" fillId="0" borderId="98" xfId="0" applyFont="1" applyFill="1" applyBorder="1" applyAlignment="1" applyProtection="1">
      <alignment horizontal="center" vertical="center" wrapText="1"/>
    </xf>
    <xf numFmtId="0" fontId="34" fillId="0" borderId="40" xfId="0" applyFont="1" applyFill="1" applyBorder="1" applyAlignment="1" applyProtection="1">
      <alignment vertical="top" wrapText="1"/>
    </xf>
    <xf numFmtId="0" fontId="34" fillId="0" borderId="72" xfId="0" applyFont="1" applyFill="1" applyBorder="1" applyAlignment="1" applyProtection="1">
      <alignment vertical="top" wrapText="1"/>
    </xf>
    <xf numFmtId="0" fontId="6" fillId="0" borderId="5" xfId="0" applyFont="1" applyBorder="1" applyAlignment="1" applyProtection="1">
      <alignment vertical="center" wrapText="1"/>
      <protection hidden="1"/>
    </xf>
    <xf numFmtId="0" fontId="15" fillId="11" borderId="0" xfId="0" applyFont="1" applyFill="1" applyBorder="1" applyAlignment="1" applyProtection="1">
      <alignment horizontal="right" vertical="center" wrapText="1"/>
      <protection hidden="1"/>
    </xf>
    <xf numFmtId="167" fontId="6" fillId="11" borderId="0" xfId="2" applyNumberFormat="1" applyFont="1" applyFill="1" applyBorder="1" applyAlignment="1">
      <alignment horizontal="left" vertical="top" wrapText="1"/>
    </xf>
    <xf numFmtId="0" fontId="6" fillId="11" borderId="0" xfId="0" applyFont="1" applyFill="1" applyAlignment="1">
      <alignment horizontal="right" vertical="center"/>
    </xf>
    <xf numFmtId="0" fontId="6" fillId="11" borderId="0" xfId="0" applyFont="1" applyFill="1" applyAlignment="1">
      <alignment horizontal="left" vertical="top" wrapText="1"/>
    </xf>
    <xf numFmtId="0" fontId="6" fillId="11" borderId="0" xfId="0" applyFont="1" applyFill="1" applyBorder="1" applyAlignment="1" applyProtection="1">
      <alignment wrapText="1"/>
      <protection hidden="1"/>
    </xf>
    <xf numFmtId="0" fontId="6" fillId="11" borderId="0" xfId="0" applyFont="1" applyFill="1" applyBorder="1" applyProtection="1">
      <protection hidden="1"/>
    </xf>
    <xf numFmtId="0" fontId="11" fillId="11" borderId="0" xfId="0" applyFont="1" applyFill="1" applyAlignment="1" applyProtection="1">
      <alignment vertical="center" wrapText="1"/>
      <protection hidden="1"/>
    </xf>
    <xf numFmtId="164" fontId="43" fillId="25" borderId="8" xfId="2" applyNumberFormat="1" applyFont="1" applyFill="1" applyBorder="1" applyAlignment="1" applyProtection="1">
      <alignment horizontal="center" vertical="center"/>
    </xf>
    <xf numFmtId="167" fontId="23" fillId="13" borderId="4" xfId="1" applyNumberFormat="1" applyFont="1" applyFill="1" applyBorder="1" applyAlignment="1" applyProtection="1">
      <alignment horizontal="center" vertical="center" wrapText="1"/>
    </xf>
    <xf numFmtId="165" fontId="22" fillId="11" borderId="28" xfId="2" applyNumberFormat="1" applyFont="1" applyFill="1" applyBorder="1" applyAlignment="1" applyProtection="1">
      <alignment horizontal="right" vertical="center" wrapText="1"/>
      <protection hidden="1"/>
    </xf>
    <xf numFmtId="167" fontId="21" fillId="12" borderId="4" xfId="2" applyNumberFormat="1" applyFont="1" applyFill="1" applyBorder="1" applyAlignment="1" applyProtection="1">
      <alignment horizontal="center" vertical="center" wrapText="1"/>
      <protection hidden="1"/>
    </xf>
    <xf numFmtId="0" fontId="16" fillId="4" borderId="63" xfId="0" applyFont="1" applyFill="1" applyBorder="1" applyAlignment="1" applyProtection="1">
      <alignment vertical="center" wrapText="1"/>
      <protection hidden="1"/>
    </xf>
    <xf numFmtId="167" fontId="43" fillId="25" borderId="6" xfId="2" applyNumberFormat="1" applyFont="1" applyFill="1" applyBorder="1" applyAlignment="1" applyProtection="1">
      <alignment horizontal="center" vertical="center" wrapText="1"/>
    </xf>
    <xf numFmtId="167" fontId="21" fillId="27" borderId="38" xfId="2" applyNumberFormat="1" applyFont="1" applyFill="1" applyBorder="1" applyAlignment="1" applyProtection="1">
      <alignment horizontal="center" vertical="center" wrapText="1"/>
      <protection hidden="1"/>
    </xf>
    <xf numFmtId="2" fontId="43" fillId="25" borderId="6" xfId="2" applyNumberFormat="1" applyFont="1" applyFill="1" applyBorder="1" applyAlignment="1" applyProtection="1">
      <alignment horizontal="center" vertical="center" wrapText="1"/>
    </xf>
    <xf numFmtId="2" fontId="43" fillId="25" borderId="4" xfId="2" applyNumberFormat="1" applyFont="1" applyFill="1" applyBorder="1" applyAlignment="1" applyProtection="1">
      <alignment horizontal="center" vertical="center" wrapText="1"/>
    </xf>
    <xf numFmtId="2" fontId="21" fillId="27" borderId="38" xfId="2" applyNumberFormat="1" applyFont="1" applyFill="1" applyBorder="1" applyAlignment="1" applyProtection="1">
      <alignment horizontal="center" vertical="center" wrapText="1"/>
      <protection hidden="1"/>
    </xf>
    <xf numFmtId="2" fontId="21" fillId="27" borderId="36" xfId="2" applyNumberFormat="1" applyFont="1" applyFill="1" applyBorder="1" applyAlignment="1" applyProtection="1">
      <alignment horizontal="center" vertical="center" wrapText="1"/>
      <protection hidden="1"/>
    </xf>
    <xf numFmtId="0" fontId="39" fillId="28" borderId="0" xfId="0" applyFont="1" applyFill="1" applyBorder="1" applyAlignment="1" applyProtection="1">
      <alignment horizontal="right" vertical="center" wrapText="1"/>
      <protection hidden="1"/>
    </xf>
    <xf numFmtId="0" fontId="39" fillId="28" borderId="0" xfId="0" applyFont="1" applyFill="1" applyAlignment="1" applyProtection="1">
      <alignment horizontal="right" vertical="center" wrapText="1"/>
      <protection hidden="1"/>
    </xf>
    <xf numFmtId="0" fontId="6" fillId="7" borderId="21" xfId="0" applyFont="1" applyFill="1" applyBorder="1" applyAlignment="1" applyProtection="1">
      <alignment horizontal="center" vertical="center" wrapText="1"/>
      <protection locked="0"/>
    </xf>
    <xf numFmtId="0" fontId="23" fillId="0" borderId="8" xfId="0" applyFont="1" applyBorder="1" applyAlignment="1" applyProtection="1">
      <alignment horizontal="left" vertical="top" wrapText="1"/>
      <protection hidden="1"/>
    </xf>
    <xf numFmtId="0" fontId="6" fillId="11" borderId="0" xfId="0" applyFont="1" applyFill="1" applyAlignment="1"/>
    <xf numFmtId="0" fontId="6" fillId="11" borderId="0" xfId="0" applyFont="1" applyFill="1" applyAlignment="1">
      <alignment horizontal="left" vertical="top"/>
    </xf>
    <xf numFmtId="171" fontId="6" fillId="11" borderId="0" xfId="5" applyNumberFormat="1" applyFont="1" applyFill="1" applyAlignment="1"/>
    <xf numFmtId="0" fontId="6" fillId="0" borderId="5" xfId="0" applyFont="1" applyFill="1" applyBorder="1" applyAlignment="1">
      <alignment horizontal="left" vertical="center" wrapText="1" indent="2"/>
    </xf>
    <xf numFmtId="0" fontId="6" fillId="0" borderId="8" xfId="0" applyFont="1" applyFill="1" applyBorder="1" applyAlignment="1">
      <alignment horizontal="left" vertical="top" wrapText="1"/>
    </xf>
    <xf numFmtId="0" fontId="11" fillId="11" borderId="0" xfId="0" applyFont="1" applyFill="1" applyAlignment="1" applyProtection="1">
      <alignment horizontal="center" wrapText="1"/>
      <protection hidden="1"/>
    </xf>
    <xf numFmtId="166" fontId="6" fillId="11" borderId="0" xfId="4" applyNumberFormat="1" applyFont="1" applyFill="1" applyAlignment="1" applyProtection="1">
      <alignment wrapText="1"/>
      <protection hidden="1"/>
    </xf>
    <xf numFmtId="166" fontId="6" fillId="11" borderId="0" xfId="4" applyNumberFormat="1" applyFont="1" applyFill="1" applyAlignment="1" applyProtection="1">
      <alignment vertical="center" wrapText="1"/>
      <protection hidden="1"/>
    </xf>
    <xf numFmtId="0" fontId="6" fillId="11" borderId="0" xfId="0" applyFont="1" applyFill="1" applyBorder="1" applyAlignment="1">
      <alignment wrapText="1"/>
    </xf>
    <xf numFmtId="167" fontId="20" fillId="30" borderId="34" xfId="2" applyNumberFormat="1" applyFont="1" applyFill="1" applyBorder="1" applyAlignment="1" applyProtection="1">
      <alignment horizontal="center" vertical="center" wrapText="1"/>
    </xf>
    <xf numFmtId="167" fontId="20" fillId="30" borderId="6" xfId="2" applyNumberFormat="1" applyFont="1" applyFill="1" applyBorder="1" applyAlignment="1" applyProtection="1">
      <alignment horizontal="center" vertical="center" wrapText="1"/>
    </xf>
    <xf numFmtId="0" fontId="6" fillId="11" borderId="0" xfId="0" applyFont="1" applyFill="1" applyAlignment="1">
      <alignment horizontal="left" vertical="top" wrapText="1"/>
    </xf>
    <xf numFmtId="0" fontId="6" fillId="11" borderId="0" xfId="0" applyFont="1" applyFill="1" applyAlignment="1">
      <alignment horizontal="left" vertical="top" wrapText="1" indent="1"/>
    </xf>
    <xf numFmtId="0" fontId="6" fillId="0" borderId="8" xfId="0" applyFont="1" applyBorder="1" applyAlignment="1" applyProtection="1">
      <alignment horizontal="left" vertical="top" wrapText="1"/>
      <protection hidden="1"/>
    </xf>
    <xf numFmtId="0" fontId="6" fillId="0" borderId="8" xfId="0" applyFont="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locked="0"/>
    </xf>
    <xf numFmtId="0" fontId="6" fillId="11" borderId="8"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9" borderId="22" xfId="0" applyFont="1" applyFill="1" applyBorder="1" applyAlignment="1" applyProtection="1">
      <alignment horizontal="left" vertical="center" wrapText="1"/>
      <protection hidden="1"/>
    </xf>
    <xf numFmtId="0" fontId="14" fillId="9" borderId="23" xfId="0" applyFont="1" applyFill="1" applyBorder="1" applyAlignment="1" applyProtection="1">
      <alignment horizontal="left" vertical="center" wrapText="1"/>
      <protection hidden="1"/>
    </xf>
    <xf numFmtId="0" fontId="14" fillId="9" borderId="24" xfId="0" applyFont="1" applyFill="1" applyBorder="1" applyAlignment="1" applyProtection="1">
      <alignment horizontal="left" vertical="center" wrapText="1"/>
      <protection hidden="1"/>
    </xf>
    <xf numFmtId="0" fontId="6" fillId="0" borderId="8" xfId="0" applyFont="1" applyBorder="1" applyAlignment="1">
      <alignment horizontal="center" vertical="center" wrapText="1"/>
    </xf>
    <xf numFmtId="0" fontId="6" fillId="0" borderId="5" xfId="0" applyFont="1" applyBorder="1" applyAlignment="1">
      <alignment horizontal="left" vertical="center" wrapText="1"/>
    </xf>
    <xf numFmtId="167" fontId="20" fillId="24" borderId="4" xfId="2" applyNumberFormat="1" applyFont="1" applyFill="1" applyBorder="1" applyAlignment="1" applyProtection="1">
      <alignment horizontal="center" vertical="center" wrapText="1"/>
    </xf>
    <xf numFmtId="164" fontId="22" fillId="22" borderId="100" xfId="2" applyNumberFormat="1" applyFont="1" applyFill="1" applyBorder="1" applyAlignment="1">
      <alignment horizontal="center" vertical="center"/>
    </xf>
    <xf numFmtId="164" fontId="22" fillId="22" borderId="101" xfId="2" applyNumberFormat="1" applyFont="1" applyFill="1" applyBorder="1" applyAlignment="1">
      <alignment horizontal="center" vertical="center"/>
    </xf>
    <xf numFmtId="164" fontId="22" fillId="22" borderId="102" xfId="2" applyNumberFormat="1" applyFont="1" applyFill="1" applyBorder="1" applyAlignment="1">
      <alignment horizontal="center" vertical="center"/>
    </xf>
    <xf numFmtId="166" fontId="30" fillId="11" borderId="0" xfId="0" applyNumberFormat="1" applyFont="1" applyFill="1" applyAlignment="1" applyProtection="1">
      <alignment horizontal="center" vertical="center"/>
      <protection locked="0"/>
    </xf>
    <xf numFmtId="0" fontId="23" fillId="11" borderId="36" xfId="0" applyFont="1" applyFill="1" applyBorder="1" applyAlignment="1" applyProtection="1">
      <alignment horizontal="center" vertical="center" wrapText="1"/>
    </xf>
    <xf numFmtId="0" fontId="50" fillId="11" borderId="0" xfId="0" applyFont="1" applyFill="1" applyAlignment="1">
      <alignment wrapText="1"/>
    </xf>
    <xf numFmtId="0" fontId="50" fillId="11" borderId="0" xfId="0" applyFont="1" applyFill="1" applyAlignment="1" applyProtection="1">
      <alignment wrapText="1"/>
      <protection hidden="1"/>
    </xf>
    <xf numFmtId="167" fontId="51" fillId="29" borderId="37" xfId="2" applyNumberFormat="1" applyFont="1" applyFill="1" applyBorder="1" applyAlignment="1" applyProtection="1">
      <alignment horizontal="center" vertical="center" wrapText="1"/>
    </xf>
    <xf numFmtId="167" fontId="51" fillId="25" borderId="38" xfId="2" applyNumberFormat="1" applyFont="1" applyFill="1" applyBorder="1" applyAlignment="1" applyProtection="1">
      <alignment horizontal="center" vertical="center" wrapText="1"/>
    </xf>
    <xf numFmtId="167" fontId="51" fillId="25" borderId="36" xfId="2" applyNumberFormat="1" applyFont="1" applyFill="1" applyBorder="1" applyAlignment="1" applyProtection="1">
      <alignment horizontal="center" vertical="center" wrapText="1"/>
    </xf>
    <xf numFmtId="167" fontId="51" fillId="25" borderId="37" xfId="2" applyNumberFormat="1" applyFont="1" applyFill="1" applyBorder="1" applyAlignment="1" applyProtection="1">
      <alignment horizontal="center" vertical="center" wrapText="1"/>
    </xf>
    <xf numFmtId="167" fontId="51" fillId="25" borderId="33" xfId="2" applyNumberFormat="1" applyFont="1" applyFill="1" applyBorder="1" applyAlignment="1" applyProtection="1">
      <alignment horizontal="center" vertical="center" wrapText="1"/>
      <protection hidden="1"/>
    </xf>
    <xf numFmtId="167" fontId="51" fillId="26" borderId="4" xfId="2" applyNumberFormat="1" applyFont="1" applyFill="1" applyBorder="1" applyAlignment="1" applyProtection="1">
      <alignment horizontal="center" vertical="center" wrapText="1"/>
    </xf>
    <xf numFmtId="1" fontId="48" fillId="3" borderId="4" xfId="2" applyNumberFormat="1" applyFont="1" applyFill="1" applyBorder="1" applyAlignment="1" applyProtection="1">
      <alignment horizontal="center" vertical="center"/>
      <protection locked="0"/>
    </xf>
    <xf numFmtId="1" fontId="21" fillId="3" borderId="4" xfId="2" applyNumberFormat="1" applyFont="1" applyFill="1" applyBorder="1" applyAlignment="1" applyProtection="1">
      <alignment horizontal="center" vertical="center"/>
      <protection locked="0"/>
    </xf>
    <xf numFmtId="167" fontId="52" fillId="30" borderId="4" xfId="2" applyNumberFormat="1" applyFont="1" applyFill="1" applyBorder="1" applyAlignment="1" applyProtection="1">
      <alignment horizontal="center" vertical="center" wrapText="1"/>
    </xf>
    <xf numFmtId="167" fontId="52" fillId="30" borderId="6" xfId="2" applyNumberFormat="1" applyFont="1" applyFill="1" applyBorder="1" applyAlignment="1" applyProtection="1">
      <alignment horizontal="center" vertical="center" wrapText="1"/>
    </xf>
    <xf numFmtId="0" fontId="52" fillId="24" borderId="4" xfId="0" applyFont="1" applyFill="1" applyBorder="1" applyAlignment="1">
      <alignment horizontal="left" vertical="center" wrapText="1"/>
    </xf>
    <xf numFmtId="0" fontId="6" fillId="11" borderId="0" xfId="0" applyFont="1" applyFill="1" applyAlignment="1" applyProtection="1">
      <alignment horizontal="center" wrapText="1"/>
      <protection hidden="1"/>
    </xf>
    <xf numFmtId="167" fontId="20" fillId="30" borderId="4" xfId="2" applyNumberFormat="1" applyFont="1" applyFill="1" applyBorder="1" applyAlignment="1" applyProtection="1">
      <alignment horizontal="center" vertical="center" wrapText="1"/>
    </xf>
    <xf numFmtId="0" fontId="6" fillId="11" borderId="32" xfId="0" applyFont="1" applyFill="1" applyBorder="1" applyAlignment="1">
      <alignment horizontal="left" vertical="top" wrapText="1"/>
    </xf>
    <xf numFmtId="0" fontId="6" fillId="11" borderId="29" xfId="0" applyFont="1" applyFill="1" applyBorder="1" applyAlignment="1">
      <alignment horizontal="left" vertical="top" wrapText="1"/>
    </xf>
    <xf numFmtId="0" fontId="6" fillId="11" borderId="63" xfId="0" applyFont="1" applyFill="1" applyBorder="1" applyAlignment="1">
      <alignment horizontal="left" vertical="top" wrapText="1"/>
    </xf>
    <xf numFmtId="0" fontId="6" fillId="11" borderId="44" xfId="0" applyFont="1" applyFill="1" applyBorder="1" applyAlignment="1">
      <alignment horizontal="left" vertical="top" wrapText="1"/>
    </xf>
    <xf numFmtId="0" fontId="6" fillId="11" borderId="0" xfId="0" applyFont="1" applyFill="1" applyAlignment="1">
      <alignment horizontal="left" vertical="top" wrapText="1"/>
    </xf>
    <xf numFmtId="0" fontId="6" fillId="11" borderId="35" xfId="0" applyFont="1" applyFill="1" applyBorder="1" applyAlignment="1">
      <alignment horizontal="left" vertical="top" wrapText="1"/>
    </xf>
    <xf numFmtId="0" fontId="6" fillId="11" borderId="33" xfId="0" applyFont="1" applyFill="1" applyBorder="1" applyAlignment="1">
      <alignment horizontal="left" vertical="top" wrapText="1"/>
    </xf>
    <xf numFmtId="0" fontId="6" fillId="11" borderId="28" xfId="0" applyFont="1" applyFill="1" applyBorder="1" applyAlignment="1">
      <alignment horizontal="left" vertical="top" wrapText="1"/>
    </xf>
    <xf numFmtId="0" fontId="6" fillId="11" borderId="34" xfId="0" applyFont="1" applyFill="1" applyBorder="1" applyAlignment="1">
      <alignment horizontal="left" vertical="top" wrapText="1"/>
    </xf>
    <xf numFmtId="0" fontId="14" fillId="8" borderId="4" xfId="0" applyFont="1" applyFill="1" applyBorder="1" applyAlignment="1" applyProtection="1">
      <alignment horizontal="left" vertical="center"/>
      <protection hidden="1"/>
    </xf>
    <xf numFmtId="0" fontId="6" fillId="11" borderId="4" xfId="0" applyFont="1" applyFill="1" applyBorder="1" applyAlignment="1">
      <alignment horizontal="left" vertical="top" wrapText="1"/>
    </xf>
    <xf numFmtId="0" fontId="11" fillId="14" borderId="15" xfId="0" applyFont="1" applyFill="1" applyBorder="1" applyAlignment="1" applyProtection="1">
      <alignment horizontal="center" wrapText="1"/>
      <protection hidden="1"/>
    </xf>
    <xf numFmtId="0" fontId="11" fillId="14" borderId="2" xfId="0" applyFont="1" applyFill="1" applyBorder="1" applyAlignment="1" applyProtection="1">
      <alignment horizontal="center" wrapText="1"/>
      <protection hidden="1"/>
    </xf>
    <xf numFmtId="0" fontId="11" fillId="14" borderId="16" xfId="0" applyFont="1" applyFill="1" applyBorder="1" applyAlignment="1" applyProtection="1">
      <alignment horizontal="center" wrapText="1"/>
      <protection hidden="1"/>
    </xf>
    <xf numFmtId="0" fontId="38" fillId="14" borderId="17" xfId="0" applyFont="1" applyFill="1" applyBorder="1" applyAlignment="1" applyProtection="1">
      <alignment horizontal="center" vertical="center" wrapText="1"/>
      <protection hidden="1"/>
    </xf>
    <xf numFmtId="0" fontId="38" fillId="14" borderId="0" xfId="0" applyFont="1" applyFill="1" applyAlignment="1" applyProtection="1">
      <alignment horizontal="center" vertical="center" wrapText="1"/>
      <protection hidden="1"/>
    </xf>
    <xf numFmtId="0" fontId="38" fillId="14" borderId="18" xfId="0" applyFont="1" applyFill="1" applyBorder="1" applyAlignment="1" applyProtection="1">
      <alignment horizontal="center" vertical="center" wrapText="1"/>
      <protection hidden="1"/>
    </xf>
    <xf numFmtId="0" fontId="6" fillId="11" borderId="4" xfId="0" applyFont="1" applyFill="1" applyBorder="1" applyAlignment="1" applyProtection="1">
      <alignment horizontal="left" vertical="top" wrapText="1"/>
      <protection hidden="1"/>
    </xf>
    <xf numFmtId="0" fontId="15" fillId="15" borderId="4" xfId="0" applyFont="1" applyFill="1" applyBorder="1" applyAlignment="1" applyProtection="1">
      <alignment horizontal="left" vertical="center" wrapText="1"/>
      <protection hidden="1"/>
    </xf>
    <xf numFmtId="0" fontId="16" fillId="8" borderId="4" xfId="0" applyFont="1" applyFill="1" applyBorder="1" applyAlignment="1" applyProtection="1">
      <alignment horizontal="right" vertical="center" wrapText="1"/>
      <protection hidden="1"/>
    </xf>
    <xf numFmtId="0" fontId="16" fillId="8" borderId="7" xfId="0" applyFont="1" applyFill="1" applyBorder="1" applyAlignment="1" applyProtection="1">
      <alignment horizontal="right" vertical="center" wrapText="1"/>
      <protection hidden="1"/>
    </xf>
    <xf numFmtId="49" fontId="21" fillId="5" borderId="4" xfId="0" applyNumberFormat="1" applyFont="1" applyFill="1" applyBorder="1" applyAlignment="1" applyProtection="1">
      <alignment horizontal="left" vertical="center" wrapText="1"/>
      <protection locked="0"/>
    </xf>
    <xf numFmtId="0" fontId="16" fillId="8" borderId="8" xfId="0" applyFont="1" applyFill="1" applyBorder="1" applyAlignment="1" applyProtection="1">
      <alignment horizontal="right" vertical="center" wrapText="1"/>
      <protection hidden="1"/>
    </xf>
    <xf numFmtId="0" fontId="15" fillId="9" borderId="4" xfId="0" applyFont="1" applyFill="1" applyBorder="1" applyAlignment="1" applyProtection="1">
      <alignment horizontal="right" vertical="center" wrapText="1"/>
      <protection hidden="1"/>
    </xf>
    <xf numFmtId="0" fontId="15" fillId="9" borderId="7" xfId="0" applyFont="1" applyFill="1" applyBorder="1" applyAlignment="1" applyProtection="1">
      <alignment horizontal="right" vertical="center" wrapText="1"/>
      <protection hidden="1"/>
    </xf>
    <xf numFmtId="170" fontId="51" fillId="25" borderId="7" xfId="2" applyNumberFormat="1" applyFont="1" applyFill="1" applyBorder="1" applyAlignment="1" applyProtection="1">
      <alignment horizontal="center" vertical="center" wrapText="1"/>
      <protection hidden="1"/>
    </xf>
    <xf numFmtId="170" fontId="51" fillId="26" borderId="8" xfId="2" applyNumberFormat="1" applyFont="1" applyFill="1" applyBorder="1" applyAlignment="1" applyProtection="1">
      <alignment horizontal="center" vertical="center" wrapText="1"/>
      <protection hidden="1"/>
    </xf>
    <xf numFmtId="170" fontId="51" fillId="26" borderId="6" xfId="2" applyNumberFormat="1" applyFont="1" applyFill="1" applyBorder="1" applyAlignment="1" applyProtection="1">
      <alignment horizontal="center" vertical="center" wrapText="1"/>
      <protection hidden="1"/>
    </xf>
    <xf numFmtId="0" fontId="51" fillId="25" borderId="7" xfId="2" applyNumberFormat="1" applyFont="1" applyFill="1" applyBorder="1" applyAlignment="1" applyProtection="1">
      <alignment horizontal="center" vertical="center" wrapText="1"/>
      <protection hidden="1"/>
    </xf>
    <xf numFmtId="0" fontId="51" fillId="26" borderId="8" xfId="2" applyNumberFormat="1" applyFont="1" applyFill="1" applyBorder="1" applyAlignment="1" applyProtection="1">
      <alignment horizontal="center" vertical="center" wrapText="1"/>
      <protection hidden="1"/>
    </xf>
    <xf numFmtId="0" fontId="51" fillId="26" borderId="6" xfId="2" applyNumberFormat="1" applyFont="1" applyFill="1" applyBorder="1" applyAlignment="1" applyProtection="1">
      <alignment horizontal="center" vertical="center" wrapText="1"/>
      <protection hidden="1"/>
    </xf>
    <xf numFmtId="0" fontId="19" fillId="9" borderId="4" xfId="0" applyFont="1" applyFill="1" applyBorder="1" applyAlignment="1" applyProtection="1">
      <alignment horizontal="center" vertical="center" wrapText="1"/>
      <protection hidden="1"/>
    </xf>
    <xf numFmtId="167" fontId="6" fillId="0" borderId="4" xfId="2" applyNumberFormat="1" applyFont="1" applyFill="1" applyBorder="1" applyAlignment="1">
      <alignment horizontal="left" vertical="top" wrapText="1"/>
    </xf>
    <xf numFmtId="14" fontId="54" fillId="27" borderId="19" xfId="0" applyNumberFormat="1" applyFont="1" applyFill="1" applyBorder="1" applyAlignment="1" applyProtection="1">
      <alignment horizontal="center" vertical="center"/>
      <protection locked="0"/>
    </xf>
    <xf numFmtId="14" fontId="54" fillId="12" borderId="3" xfId="0" applyNumberFormat="1" applyFont="1" applyFill="1" applyBorder="1" applyAlignment="1" applyProtection="1">
      <alignment horizontal="center" vertical="center"/>
      <protection locked="0"/>
    </xf>
    <xf numFmtId="14" fontId="54" fillId="12" borderId="20" xfId="0" applyNumberFormat="1" applyFont="1" applyFill="1" applyBorder="1" applyAlignment="1" applyProtection="1">
      <alignment horizontal="center" vertical="center"/>
      <protection locked="0"/>
    </xf>
    <xf numFmtId="49" fontId="54" fillId="12" borderId="9" xfId="0" applyNumberFormat="1" applyFont="1" applyFill="1" applyBorder="1" applyAlignment="1" applyProtection="1">
      <alignment horizontal="center" vertical="center"/>
      <protection locked="0"/>
    </xf>
    <xf numFmtId="49" fontId="54" fillId="12" borderId="10" xfId="0" applyNumberFormat="1" applyFont="1" applyFill="1" applyBorder="1" applyAlignment="1" applyProtection="1">
      <alignment horizontal="center" vertical="center"/>
      <protection locked="0"/>
    </xf>
    <xf numFmtId="49" fontId="54" fillId="12" borderId="26" xfId="0" applyNumberFormat="1"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wrapText="1"/>
      <protection hidden="1"/>
    </xf>
    <xf numFmtId="0" fontId="14" fillId="9" borderId="37"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right" vertical="center" wrapText="1"/>
      <protection hidden="1"/>
    </xf>
    <xf numFmtId="0" fontId="14" fillId="9" borderId="6" xfId="0" applyFont="1" applyFill="1" applyBorder="1" applyAlignment="1" applyProtection="1">
      <alignment horizontal="center" vertical="center" wrapText="1"/>
      <protection hidden="1"/>
    </xf>
    <xf numFmtId="0" fontId="14" fillId="9" borderId="63" xfId="0" applyFont="1" applyFill="1" applyBorder="1" applyAlignment="1" applyProtection="1">
      <alignment horizontal="center" vertical="center" wrapText="1"/>
      <protection hidden="1"/>
    </xf>
    <xf numFmtId="0" fontId="19" fillId="9" borderId="32" xfId="0" applyFont="1" applyFill="1" applyBorder="1" applyAlignment="1" applyProtection="1">
      <alignment horizontal="left" vertical="center" wrapText="1"/>
      <protection hidden="1"/>
    </xf>
    <xf numFmtId="0" fontId="19" fillId="9" borderId="63" xfId="0" applyFont="1" applyFill="1" applyBorder="1" applyAlignment="1" applyProtection="1">
      <alignment horizontal="left" vertical="center" wrapText="1"/>
      <protection hidden="1"/>
    </xf>
    <xf numFmtId="0" fontId="19" fillId="9" borderId="33" xfId="0" applyFont="1" applyFill="1" applyBorder="1" applyAlignment="1" applyProtection="1">
      <alignment horizontal="left" vertical="center" wrapText="1"/>
      <protection hidden="1"/>
    </xf>
    <xf numFmtId="0" fontId="19" fillId="9" borderId="34" xfId="0" applyFont="1" applyFill="1" applyBorder="1" applyAlignment="1" applyProtection="1">
      <alignment horizontal="left" vertical="center" wrapText="1"/>
      <protection hidden="1"/>
    </xf>
    <xf numFmtId="0" fontId="14" fillId="9" borderId="36" xfId="0" applyFont="1" applyFill="1" applyBorder="1" applyAlignment="1" applyProtection="1">
      <alignment horizontal="center" vertical="center" wrapText="1"/>
      <protection hidden="1"/>
    </xf>
    <xf numFmtId="0" fontId="15" fillId="15" borderId="4" xfId="0" applyFont="1" applyFill="1" applyBorder="1" applyAlignment="1" applyProtection="1">
      <alignment horizontal="left" vertical="center"/>
      <protection hidden="1"/>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19" fillId="9" borderId="44" xfId="0" applyFont="1" applyFill="1" applyBorder="1" applyAlignment="1" applyProtection="1">
      <alignment horizontal="left" vertical="center" wrapText="1"/>
      <protection hidden="1"/>
    </xf>
    <xf numFmtId="0" fontId="19" fillId="9" borderId="35" xfId="0" applyFont="1" applyFill="1" applyBorder="1" applyAlignment="1" applyProtection="1">
      <alignment horizontal="left" vertical="center" wrapText="1"/>
      <protection hidden="1"/>
    </xf>
    <xf numFmtId="0" fontId="14" fillId="9" borderId="34" xfId="0" applyFont="1" applyFill="1" applyBorder="1" applyAlignment="1" applyProtection="1">
      <alignment horizontal="center" vertical="center" wrapText="1"/>
      <protection hidden="1"/>
    </xf>
    <xf numFmtId="0" fontId="16" fillId="8" borderId="7" xfId="0" applyFont="1" applyFill="1" applyBorder="1" applyAlignment="1" applyProtection="1">
      <alignment horizontal="left" vertical="center" wrapText="1"/>
      <protection hidden="1"/>
    </xf>
    <xf numFmtId="0" fontId="16" fillId="8" borderId="8" xfId="0" applyFont="1" applyFill="1" applyBorder="1" applyAlignment="1" applyProtection="1">
      <alignment horizontal="left" vertical="center" wrapText="1"/>
      <protection hidden="1"/>
    </xf>
    <xf numFmtId="49" fontId="21" fillId="5" borderId="4" xfId="0" applyNumberFormat="1" applyFont="1" applyFill="1" applyBorder="1" applyAlignment="1" applyProtection="1">
      <alignment horizontal="left" vertical="center"/>
      <protection locked="0"/>
    </xf>
    <xf numFmtId="0" fontId="16" fillId="8" borderId="6" xfId="0" applyFont="1" applyFill="1" applyBorder="1" applyAlignment="1" applyProtection="1">
      <alignment horizontal="left" vertical="center" wrapText="1"/>
      <protection hidden="1"/>
    </xf>
    <xf numFmtId="0" fontId="6" fillId="11" borderId="58" xfId="0" applyFont="1" applyFill="1" applyBorder="1" applyAlignment="1" applyProtection="1">
      <alignment horizontal="center" vertical="center" wrapText="1"/>
    </xf>
    <xf numFmtId="0" fontId="6" fillId="11" borderId="61" xfId="0" applyFont="1" applyFill="1" applyBorder="1" applyAlignment="1" applyProtection="1">
      <alignment horizontal="center" vertical="center" wrapText="1"/>
    </xf>
    <xf numFmtId="0" fontId="6" fillId="11" borderId="39" xfId="0" applyFont="1" applyFill="1" applyBorder="1" applyAlignment="1" applyProtection="1">
      <alignment horizontal="center" vertical="center" wrapText="1"/>
    </xf>
    <xf numFmtId="0" fontId="6" fillId="11" borderId="37" xfId="0" applyFont="1" applyFill="1" applyBorder="1" applyAlignment="1" applyProtection="1">
      <alignment horizontal="center" vertical="center" wrapText="1"/>
    </xf>
    <xf numFmtId="0" fontId="6" fillId="11" borderId="38" xfId="0" applyFont="1" applyFill="1" applyBorder="1" applyAlignment="1" applyProtection="1">
      <alignment horizontal="center" vertical="center" wrapText="1"/>
    </xf>
    <xf numFmtId="0" fontId="6" fillId="11" borderId="36" xfId="0" applyFont="1" applyFill="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11" borderId="58" xfId="0" applyFont="1" applyFill="1" applyBorder="1" applyAlignment="1" applyProtection="1">
      <alignment horizontal="center" vertical="center" wrapText="1"/>
    </xf>
    <xf numFmtId="0" fontId="23" fillId="11" borderId="61" xfId="0" applyFont="1" applyFill="1" applyBorder="1" applyAlignment="1" applyProtection="1">
      <alignment horizontal="center" vertical="center" wrapText="1"/>
    </xf>
    <xf numFmtId="0" fontId="23" fillId="11" borderId="39" xfId="0" applyFont="1" applyFill="1" applyBorder="1" applyAlignment="1" applyProtection="1">
      <alignment horizontal="center" vertical="center" wrapText="1"/>
    </xf>
    <xf numFmtId="0" fontId="23" fillId="11" borderId="63" xfId="0" applyFont="1" applyFill="1" applyBorder="1" applyAlignment="1" applyProtection="1">
      <alignment horizontal="center" vertical="center"/>
    </xf>
    <xf numFmtId="0" fontId="23" fillId="11" borderId="69" xfId="0" applyFont="1" applyFill="1" applyBorder="1" applyAlignment="1" applyProtection="1">
      <alignment horizontal="center" vertical="center"/>
    </xf>
    <xf numFmtId="0" fontId="23" fillId="11" borderId="7" xfId="0" applyFont="1" applyFill="1" applyBorder="1" applyAlignment="1" applyProtection="1">
      <alignment horizontal="center" vertical="center" wrapText="1"/>
    </xf>
    <xf numFmtId="0" fontId="23" fillId="11" borderId="32" xfId="0" applyFont="1" applyFill="1" applyBorder="1" applyAlignment="1" applyProtection="1">
      <alignment horizontal="center" vertical="center" wrapText="1"/>
    </xf>
    <xf numFmtId="0" fontId="23" fillId="11" borderId="81" xfId="0" applyFont="1" applyFill="1" applyBorder="1" applyAlignment="1" applyProtection="1">
      <alignment horizontal="center" vertical="center" wrapText="1"/>
    </xf>
    <xf numFmtId="0" fontId="23" fillId="11" borderId="30" xfId="0" applyFont="1" applyFill="1" applyBorder="1" applyAlignment="1" applyProtection="1">
      <alignment horizontal="center" vertical="center" wrapText="1"/>
    </xf>
    <xf numFmtId="0" fontId="23" fillId="11" borderId="37" xfId="0" applyFont="1" applyFill="1" applyBorder="1" applyAlignment="1" applyProtection="1">
      <alignment horizontal="center" vertical="center" wrapText="1"/>
    </xf>
    <xf numFmtId="0" fontId="23" fillId="11" borderId="38" xfId="0" applyFont="1" applyFill="1" applyBorder="1" applyAlignment="1" applyProtection="1">
      <alignment horizontal="center" vertical="center" wrapText="1"/>
    </xf>
    <xf numFmtId="0" fontId="23" fillId="11" borderId="36" xfId="0" applyFont="1" applyFill="1" applyBorder="1" applyAlignment="1" applyProtection="1">
      <alignment horizontal="center" vertical="center" wrapText="1"/>
    </xf>
    <xf numFmtId="0" fontId="23" fillId="11" borderId="70" xfId="0" applyFont="1" applyFill="1" applyBorder="1" applyAlignment="1" applyProtection="1">
      <alignment horizontal="center" vertical="center"/>
    </xf>
    <xf numFmtId="0" fontId="23" fillId="11" borderId="64" xfId="0" applyFont="1" applyFill="1" applyBorder="1" applyAlignment="1" applyProtection="1">
      <alignment horizontal="center" vertical="center"/>
    </xf>
    <xf numFmtId="0" fontId="23" fillId="11" borderId="55" xfId="0" applyFont="1" applyFill="1" applyBorder="1" applyAlignment="1" applyProtection="1">
      <alignment horizontal="center" vertical="center"/>
    </xf>
    <xf numFmtId="0" fontId="6" fillId="11" borderId="32" xfId="0" applyFont="1" applyFill="1" applyBorder="1" applyAlignment="1" applyProtection="1">
      <alignment horizontal="left" vertical="top" wrapText="1"/>
    </xf>
    <xf numFmtId="0" fontId="6" fillId="11" borderId="29" xfId="0" applyFont="1" applyFill="1" applyBorder="1" applyAlignment="1" applyProtection="1">
      <alignment horizontal="left" vertical="top" wrapText="1"/>
    </xf>
    <xf numFmtId="0" fontId="6" fillId="11" borderId="63" xfId="0" applyFont="1" applyFill="1" applyBorder="1" applyAlignment="1" applyProtection="1">
      <alignment horizontal="left" vertical="top" wrapText="1"/>
    </xf>
    <xf numFmtId="0" fontId="6" fillId="11" borderId="33" xfId="0" applyFont="1" applyFill="1" applyBorder="1" applyAlignment="1" applyProtection="1">
      <alignment horizontal="left" vertical="top" wrapText="1"/>
    </xf>
    <xf numFmtId="0" fontId="6" fillId="11" borderId="28" xfId="0" applyFont="1" applyFill="1" applyBorder="1" applyAlignment="1" applyProtection="1">
      <alignment horizontal="left" vertical="top" wrapText="1"/>
    </xf>
    <xf numFmtId="0" fontId="6" fillId="11" borderId="34" xfId="0" applyFont="1" applyFill="1" applyBorder="1" applyAlignment="1" applyProtection="1">
      <alignment horizontal="left" vertical="top" wrapText="1"/>
    </xf>
    <xf numFmtId="0" fontId="23" fillId="11" borderId="73" xfId="0" applyFont="1" applyFill="1" applyBorder="1" applyAlignment="1" applyProtection="1">
      <alignment horizontal="center" vertical="center" wrapText="1"/>
    </xf>
    <xf numFmtId="0" fontId="6" fillId="0" borderId="0" xfId="0" applyFont="1" applyFill="1" applyAlignment="1">
      <alignment horizontal="left" vertical="top" wrapText="1"/>
    </xf>
    <xf numFmtId="0" fontId="6" fillId="7" borderId="21"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top" wrapText="1"/>
      <protection hidden="1"/>
    </xf>
    <xf numFmtId="0" fontId="6" fillId="7" borderId="68" xfId="0" applyFont="1" applyFill="1" applyBorder="1" applyAlignment="1" applyProtection="1">
      <alignment horizontal="center" vertical="center" wrapText="1"/>
      <protection locked="0"/>
    </xf>
    <xf numFmtId="0" fontId="6" fillId="7" borderId="18" xfId="0" applyFont="1" applyFill="1" applyBorder="1" applyAlignment="1" applyProtection="1">
      <alignment horizontal="center" vertical="center" wrapText="1"/>
      <protection locked="0"/>
    </xf>
    <xf numFmtId="0" fontId="6" fillId="7" borderId="40" xfId="0" applyFont="1" applyFill="1" applyBorder="1" applyAlignment="1" applyProtection="1">
      <alignment horizontal="center" vertical="center" wrapText="1"/>
      <protection locked="0"/>
    </xf>
    <xf numFmtId="0" fontId="6" fillId="0" borderId="29"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28" xfId="0" applyFont="1" applyBorder="1" applyAlignment="1" applyProtection="1">
      <alignment horizontal="left" vertical="top" wrapText="1"/>
      <protection hidden="1"/>
    </xf>
    <xf numFmtId="0" fontId="6" fillId="0" borderId="8" xfId="0" applyFont="1" applyFill="1" applyBorder="1" applyAlignment="1" applyProtection="1">
      <alignment horizontal="left" vertical="top" wrapText="1"/>
      <protection hidden="1"/>
    </xf>
    <xf numFmtId="0" fontId="6" fillId="19" borderId="71" xfId="0" applyFont="1" applyFill="1" applyBorder="1" applyAlignment="1">
      <alignment horizontal="right" vertical="center"/>
    </xf>
    <xf numFmtId="0" fontId="6" fillId="11" borderId="49" xfId="0" applyFont="1" applyFill="1" applyBorder="1" applyAlignment="1">
      <alignment horizontal="right" vertical="center"/>
    </xf>
    <xf numFmtId="0" fontId="6" fillId="19" borderId="47" xfId="0" applyFont="1" applyFill="1" applyBorder="1" applyAlignment="1">
      <alignment horizontal="right" vertical="center"/>
    </xf>
    <xf numFmtId="0" fontId="6" fillId="11" borderId="48" xfId="0" applyFont="1" applyFill="1" applyBorder="1" applyAlignment="1">
      <alignment horizontal="right" vertical="center"/>
    </xf>
    <xf numFmtId="0" fontId="6" fillId="19" borderId="51" xfId="0" applyFont="1" applyFill="1" applyBorder="1" applyAlignment="1">
      <alignment horizontal="right" vertical="center"/>
    </xf>
    <xf numFmtId="0" fontId="6" fillId="11" borderId="45" xfId="0" applyFont="1" applyFill="1" applyBorder="1" applyAlignment="1">
      <alignment horizontal="right" vertical="center"/>
    </xf>
    <xf numFmtId="0" fontId="6" fillId="11" borderId="82" xfId="0" applyFont="1" applyFill="1" applyBorder="1" applyAlignment="1">
      <alignment horizontal="right" vertical="center"/>
    </xf>
    <xf numFmtId="0" fontId="6" fillId="19" borderId="19" xfId="0" applyFont="1" applyFill="1" applyBorder="1" applyAlignment="1">
      <alignment horizontal="right" vertical="center"/>
    </xf>
    <xf numFmtId="0" fontId="6" fillId="11" borderId="3" xfId="0" applyFont="1" applyFill="1" applyBorder="1" applyAlignment="1">
      <alignment horizontal="right" vertical="center"/>
    </xf>
    <xf numFmtId="0" fontId="14" fillId="9" borderId="22" xfId="0" applyFont="1" applyFill="1" applyBorder="1" applyAlignment="1" applyProtection="1">
      <alignment horizontal="left" vertical="center" wrapText="1"/>
      <protection hidden="1"/>
    </xf>
    <xf numFmtId="0" fontId="14" fillId="9" borderId="23" xfId="0" applyFont="1" applyFill="1" applyBorder="1" applyAlignment="1" applyProtection="1">
      <alignment horizontal="left" vertical="center" wrapText="1"/>
      <protection hidden="1"/>
    </xf>
    <xf numFmtId="0" fontId="14" fillId="9" borderId="24" xfId="0" applyFont="1" applyFill="1" applyBorder="1" applyAlignment="1" applyProtection="1">
      <alignment horizontal="left" vertical="center" wrapText="1"/>
      <protection hidden="1"/>
    </xf>
    <xf numFmtId="0" fontId="6" fillId="0" borderId="49" xfId="0" applyFont="1" applyBorder="1" applyAlignment="1">
      <alignment horizontal="right" vertical="center"/>
    </xf>
    <xf numFmtId="0" fontId="6" fillId="19" borderId="76" xfId="0" applyFont="1" applyFill="1" applyBorder="1" applyAlignment="1">
      <alignment horizontal="right" vertical="center"/>
    </xf>
    <xf numFmtId="0" fontId="6" fillId="11" borderId="43" xfId="0" applyFont="1" applyFill="1" applyBorder="1" applyAlignment="1">
      <alignment horizontal="right" vertical="center"/>
    </xf>
    <xf numFmtId="0" fontId="6" fillId="19" borderId="86" xfId="0" applyFont="1" applyFill="1" applyBorder="1" applyAlignment="1">
      <alignment horizontal="right" vertical="center"/>
    </xf>
    <xf numFmtId="0" fontId="6" fillId="19" borderId="83" xfId="0" applyFont="1" applyFill="1" applyBorder="1" applyAlignment="1">
      <alignment horizontal="right" vertical="center"/>
    </xf>
    <xf numFmtId="0" fontId="6" fillId="11" borderId="84" xfId="0" applyFont="1" applyFill="1" applyBorder="1" applyAlignment="1">
      <alignment horizontal="right" vertical="center"/>
    </xf>
    <xf numFmtId="0" fontId="6" fillId="11" borderId="85" xfId="0" applyFont="1" applyFill="1" applyBorder="1" applyAlignment="1">
      <alignment horizontal="right" vertical="center"/>
    </xf>
    <xf numFmtId="0" fontId="6" fillId="19" borderId="17" xfId="0" applyFont="1" applyFill="1" applyBorder="1" applyAlignment="1">
      <alignment horizontal="right" vertical="center"/>
    </xf>
    <xf numFmtId="0" fontId="6" fillId="11" borderId="0" xfId="0" applyFont="1" applyFill="1" applyBorder="1" applyAlignment="1">
      <alignment horizontal="right" vertical="center"/>
    </xf>
    <xf numFmtId="0" fontId="6" fillId="11" borderId="35" xfId="0" applyFont="1" applyFill="1" applyBorder="1" applyAlignment="1">
      <alignment horizontal="right" vertical="center"/>
    </xf>
    <xf numFmtId="0" fontId="6" fillId="0" borderId="8" xfId="0" applyFont="1" applyBorder="1" applyAlignment="1" applyProtection="1">
      <alignment horizontal="center" vertical="center" wrapText="1"/>
      <protection hidden="1"/>
    </xf>
    <xf numFmtId="0" fontId="23" fillId="0" borderId="5" xfId="0" applyFont="1" applyBorder="1" applyAlignment="1" applyProtection="1">
      <alignment horizontal="left" vertical="center" wrapText="1"/>
      <protection hidden="1"/>
    </xf>
    <xf numFmtId="0" fontId="6" fillId="0" borderId="73" xfId="0" applyFont="1" applyBorder="1" applyAlignment="1" applyProtection="1">
      <alignment horizontal="left" vertical="center" wrapText="1"/>
      <protection hidden="1"/>
    </xf>
    <xf numFmtId="0" fontId="6" fillId="0" borderId="17" xfId="0" applyFont="1" applyBorder="1" applyAlignment="1" applyProtection="1">
      <alignment horizontal="left" vertical="center" wrapText="1"/>
      <protection hidden="1"/>
    </xf>
    <xf numFmtId="0" fontId="6" fillId="0" borderId="53" xfId="0" applyFont="1" applyBorder="1" applyAlignment="1" applyProtection="1">
      <alignment horizontal="left" vertical="center" wrapText="1"/>
      <protection hidden="1"/>
    </xf>
    <xf numFmtId="0" fontId="6" fillId="0" borderId="29"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8" xfId="0" applyFont="1" applyFill="1" applyBorder="1" applyAlignment="1">
      <alignment horizontal="left" vertical="top" wrapText="1"/>
    </xf>
    <xf numFmtId="0" fontId="23" fillId="0" borderId="8" xfId="0" applyFont="1" applyBorder="1" applyAlignment="1">
      <alignment horizontal="center" vertical="center" wrapText="1"/>
    </xf>
    <xf numFmtId="0" fontId="23" fillId="0" borderId="8" xfId="0" applyFont="1" applyBorder="1" applyAlignment="1" applyProtection="1">
      <alignment horizontal="center" vertical="center" wrapText="1"/>
      <protection hidden="1"/>
    </xf>
    <xf numFmtId="0" fontId="6"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hidden="1"/>
    </xf>
    <xf numFmtId="0" fontId="6" fillId="11" borderId="8" xfId="0" applyFont="1" applyFill="1" applyBorder="1" applyAlignment="1">
      <alignment horizontal="left" vertical="top" wrapText="1"/>
    </xf>
    <xf numFmtId="0" fontId="18" fillId="6" borderId="7" xfId="0" applyFont="1" applyFill="1" applyBorder="1" applyAlignment="1" applyProtection="1">
      <alignment horizontal="left" vertical="center"/>
      <protection hidden="1"/>
    </xf>
    <xf numFmtId="0" fontId="18" fillId="6" borderId="8" xfId="0" applyFont="1" applyFill="1" applyBorder="1" applyAlignment="1" applyProtection="1">
      <alignment horizontal="left" vertical="center"/>
      <protection hidden="1"/>
    </xf>
    <xf numFmtId="0" fontId="18" fillId="6" borderId="6" xfId="0" applyFont="1" applyFill="1" applyBorder="1" applyAlignment="1" applyProtection="1">
      <alignment horizontal="left" vertical="center"/>
      <protection hidden="1"/>
    </xf>
    <xf numFmtId="0" fontId="6" fillId="0" borderId="5" xfId="0" applyFont="1" applyBorder="1" applyAlignment="1">
      <alignment horizontal="left" vertical="center" wrapText="1"/>
    </xf>
    <xf numFmtId="0" fontId="23" fillId="0" borderId="5" xfId="0" applyFont="1" applyBorder="1" applyAlignment="1">
      <alignment horizontal="left" vertical="center" wrapText="1"/>
    </xf>
    <xf numFmtId="0" fontId="14" fillId="8" borderId="44" xfId="0" applyFont="1" applyFill="1" applyBorder="1" applyAlignment="1" applyProtection="1">
      <alignment horizontal="left" vertical="center"/>
      <protection hidden="1"/>
    </xf>
    <xf numFmtId="0" fontId="14" fillId="8" borderId="0" xfId="0" applyFont="1" applyFill="1" applyAlignment="1" applyProtection="1">
      <alignment horizontal="left" vertical="center"/>
      <protection hidden="1"/>
    </xf>
    <xf numFmtId="0" fontId="6" fillId="11" borderId="0" xfId="0" applyFont="1" applyFill="1" applyAlignment="1">
      <alignment horizontal="left" vertical="top" wrapText="1" indent="1"/>
    </xf>
    <xf numFmtId="0" fontId="6" fillId="0" borderId="10" xfId="0" applyFont="1" applyBorder="1" applyAlignment="1" applyProtection="1">
      <alignment horizontal="left" vertical="top" wrapText="1"/>
      <protection hidden="1"/>
    </xf>
    <xf numFmtId="0" fontId="6" fillId="7" borderId="26"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cellXfs>
  <cellStyles count="6">
    <cellStyle name="Calculation" xfId="2" builtinId="22"/>
    <cellStyle name="Comma" xfId="5" builtinId="3"/>
    <cellStyle name="Input" xfId="1" builtinId="20"/>
    <cellStyle name="Normal" xfId="0" builtinId="0"/>
    <cellStyle name="Normal 2" xfId="3"/>
    <cellStyle name="Percent" xfId="4" builtinId="5"/>
  </cellStyles>
  <dxfs count="4">
    <dxf>
      <font>
        <color rgb="FF8497B0"/>
      </font>
    </dxf>
    <dxf>
      <font>
        <color rgb="FF8497B0"/>
      </font>
    </dxf>
    <dxf>
      <font>
        <color rgb="FF8497B0"/>
      </font>
    </dxf>
    <dxf>
      <font>
        <color rgb="FF8497B0"/>
      </font>
    </dxf>
  </dxfs>
  <tableStyles count="0" defaultTableStyle="TableStyleMedium2" defaultPivotStyle="PivotStyleLight16"/>
  <colors>
    <mruColors>
      <color rgb="FFE35205"/>
      <color rgb="FFE3E7ED"/>
      <color rgb="FF002060"/>
      <color rgb="FFACB9CA"/>
      <color rgb="FFF2F2F2"/>
      <color rgb="FFD3DAE3"/>
      <color rgb="FFAEAAAA"/>
      <color rgb="FF1E5E5E"/>
      <color rgb="FFE6E6E6"/>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124460</xdr:colOff>
      <xdr:row>13</xdr:row>
      <xdr:rowOff>47451</xdr:rowOff>
    </xdr:from>
    <xdr:to>
      <xdr:col>8</xdr:col>
      <xdr:colOff>2231210</xdr:colOff>
      <xdr:row>31</xdr:row>
      <xdr:rowOff>46181</xdr:rowOff>
    </xdr:to>
    <xdr:pic>
      <xdr:nvPicPr>
        <xdr:cNvPr id="3" name="Picture 2">
          <a:extLst>
            <a:ext uri="{FF2B5EF4-FFF2-40B4-BE49-F238E27FC236}">
              <a16:creationId xmlns:a16="http://schemas.microsoft.com/office/drawing/2014/main" id="{3BF24E68-B0E5-0680-FB4D-C9DC9FCAD74B}"/>
            </a:ext>
          </a:extLst>
        </xdr:cNvPr>
        <xdr:cNvPicPr>
          <a:picLocks noChangeAspect="1"/>
        </xdr:cNvPicPr>
      </xdr:nvPicPr>
      <xdr:blipFill>
        <a:blip xmlns:r="http://schemas.openxmlformats.org/officeDocument/2006/relationships" r:embed="rId1"/>
        <a:stretch>
          <a:fillRect/>
        </a:stretch>
      </xdr:blipFill>
      <xdr:spPr>
        <a:xfrm>
          <a:off x="436187" y="2922269"/>
          <a:ext cx="13432841" cy="42243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247"/>
  <sheetViews>
    <sheetView zoomScaleNormal="100" workbookViewId="0">
      <selection activeCell="B1" sqref="B1"/>
    </sheetView>
  </sheetViews>
  <sheetFormatPr defaultColWidth="0" defaultRowHeight="14.25" zeroHeight="1" x14ac:dyDescent="0.2"/>
  <cols>
    <col min="1" max="1" width="4.5703125" style="4" customWidth="1"/>
    <col min="2" max="2" width="28.5703125" style="174" customWidth="1"/>
    <col min="3" max="8" width="22.5703125" style="174" customWidth="1"/>
    <col min="9" max="9" width="34" style="14" customWidth="1"/>
    <col min="10" max="10" width="4.5703125" style="4" customWidth="1"/>
    <col min="11" max="11" width="15.42578125" style="3" hidden="1" customWidth="1"/>
    <col min="12" max="22" width="0" style="174" hidden="1" customWidth="1"/>
    <col min="23" max="16384" width="8.5703125" style="174" hidden="1"/>
  </cols>
  <sheetData>
    <row r="1" spans="1:13" ht="15" customHeight="1" thickBot="1" x14ac:dyDescent="0.25">
      <c r="A1" s="140"/>
      <c r="B1" s="35"/>
      <c r="C1" s="35"/>
      <c r="D1" s="86"/>
      <c r="E1" s="86"/>
      <c r="F1" s="86"/>
      <c r="G1" s="86"/>
      <c r="H1" s="86"/>
      <c r="I1" s="35"/>
      <c r="J1" s="140"/>
      <c r="L1" s="3"/>
      <c r="M1" s="3"/>
    </row>
    <row r="2" spans="1:13" ht="15" customHeight="1" x14ac:dyDescent="0.2">
      <c r="B2" s="529" t="s">
        <v>0</v>
      </c>
      <c r="C2" s="530"/>
      <c r="D2" s="530"/>
      <c r="E2" s="530"/>
      <c r="F2" s="530"/>
      <c r="G2" s="530"/>
      <c r="H2" s="530"/>
      <c r="I2" s="531"/>
      <c r="L2" s="3"/>
      <c r="M2" s="3"/>
    </row>
    <row r="3" spans="1:13" s="185" customFormat="1" ht="25.5" x14ac:dyDescent="0.35">
      <c r="A3" s="77"/>
      <c r="B3" s="532" t="s">
        <v>1</v>
      </c>
      <c r="C3" s="533"/>
      <c r="D3" s="533"/>
      <c r="E3" s="533"/>
      <c r="F3" s="533"/>
      <c r="G3" s="533"/>
      <c r="H3" s="533"/>
      <c r="I3" s="534"/>
      <c r="J3" s="77"/>
      <c r="K3" s="184"/>
      <c r="L3" s="184"/>
      <c r="M3" s="184"/>
    </row>
    <row r="4" spans="1:13" ht="19.5" customHeight="1" thickBot="1" x14ac:dyDescent="0.3">
      <c r="A4" s="77"/>
      <c r="B4" s="17"/>
      <c r="C4" s="18"/>
      <c r="D4" s="18"/>
      <c r="E4" s="18"/>
      <c r="F4" s="19"/>
      <c r="G4" s="20" t="s">
        <v>290</v>
      </c>
      <c r="H4" s="21"/>
      <c r="I4" s="22" t="s">
        <v>289</v>
      </c>
      <c r="J4" s="77"/>
      <c r="L4" s="3"/>
      <c r="M4" s="3"/>
    </row>
    <row r="5" spans="1:13" s="3" customFormat="1" x14ac:dyDescent="0.2">
      <c r="A5" s="4"/>
      <c r="I5" s="14"/>
      <c r="J5" s="4"/>
    </row>
    <row r="6" spans="1:13" ht="18" customHeight="1" x14ac:dyDescent="0.2">
      <c r="B6" s="527" t="s">
        <v>2</v>
      </c>
      <c r="C6" s="527"/>
      <c r="D6" s="527"/>
      <c r="E6" s="527"/>
      <c r="F6" s="527"/>
      <c r="G6" s="527"/>
      <c r="H6" s="527"/>
      <c r="I6" s="527"/>
      <c r="L6" s="3"/>
      <c r="M6" s="3"/>
    </row>
    <row r="7" spans="1:13" ht="14.85" customHeight="1" x14ac:dyDescent="0.2">
      <c r="B7" s="528" t="s">
        <v>307</v>
      </c>
      <c r="C7" s="528"/>
      <c r="D7" s="528"/>
      <c r="E7" s="528"/>
      <c r="F7" s="528"/>
      <c r="G7" s="528"/>
      <c r="H7" s="528"/>
      <c r="I7" s="528"/>
      <c r="L7" s="3"/>
      <c r="M7" s="3"/>
    </row>
    <row r="8" spans="1:13" ht="14.85" customHeight="1" x14ac:dyDescent="0.2">
      <c r="B8" s="528"/>
      <c r="C8" s="528"/>
      <c r="D8" s="528"/>
      <c r="E8" s="528"/>
      <c r="F8" s="528"/>
      <c r="G8" s="528"/>
      <c r="H8" s="528"/>
      <c r="I8" s="528"/>
      <c r="L8" s="3"/>
      <c r="M8" s="3"/>
    </row>
    <row r="9" spans="1:13" ht="14.85" customHeight="1" x14ac:dyDescent="0.2">
      <c r="B9" s="528"/>
      <c r="C9" s="528"/>
      <c r="D9" s="528"/>
      <c r="E9" s="528"/>
      <c r="F9" s="528"/>
      <c r="G9" s="528"/>
      <c r="H9" s="528"/>
      <c r="I9" s="528"/>
      <c r="L9" s="3"/>
      <c r="M9" s="3"/>
    </row>
    <row r="10" spans="1:13" ht="15" customHeight="1" x14ac:dyDescent="0.2">
      <c r="B10" s="35"/>
      <c r="C10" s="35"/>
      <c r="D10" s="86"/>
      <c r="E10" s="86"/>
      <c r="F10" s="86"/>
      <c r="G10" s="86"/>
      <c r="H10" s="86"/>
      <c r="I10" s="35"/>
      <c r="L10" s="3"/>
      <c r="M10" s="3"/>
    </row>
    <row r="11" spans="1:13" s="3" customFormat="1" ht="19.5" customHeight="1" x14ac:dyDescent="0.2">
      <c r="A11" s="4"/>
      <c r="B11" s="527" t="s">
        <v>3</v>
      </c>
      <c r="C11" s="527"/>
      <c r="D11" s="527"/>
      <c r="E11" s="527"/>
      <c r="F11" s="527"/>
      <c r="G11" s="527"/>
      <c r="H11" s="527"/>
      <c r="I11" s="527"/>
      <c r="J11" s="4"/>
    </row>
    <row r="12" spans="1:13" s="3" customFormat="1" ht="14.85" customHeight="1" x14ac:dyDescent="0.2">
      <c r="A12" s="4"/>
      <c r="B12" s="518" t="s">
        <v>4</v>
      </c>
      <c r="C12" s="519"/>
      <c r="D12" s="519"/>
      <c r="E12" s="519"/>
      <c r="F12" s="519"/>
      <c r="G12" s="519"/>
      <c r="H12" s="519"/>
      <c r="I12" s="520"/>
      <c r="J12" s="4"/>
    </row>
    <row r="13" spans="1:13" s="3" customFormat="1" x14ac:dyDescent="0.2">
      <c r="A13" s="4"/>
      <c r="B13" s="521"/>
      <c r="C13" s="522"/>
      <c r="D13" s="522"/>
      <c r="E13" s="522"/>
      <c r="F13" s="522"/>
      <c r="G13" s="522"/>
      <c r="H13" s="522"/>
      <c r="I13" s="523"/>
      <c r="J13" s="4"/>
    </row>
    <row r="14" spans="1:13" s="3" customFormat="1" x14ac:dyDescent="0.2">
      <c r="A14" s="4"/>
      <c r="B14" s="521"/>
      <c r="C14" s="522"/>
      <c r="D14" s="522"/>
      <c r="E14" s="522"/>
      <c r="F14" s="522"/>
      <c r="G14" s="522"/>
      <c r="H14" s="522"/>
      <c r="I14" s="523"/>
      <c r="J14" s="4"/>
    </row>
    <row r="15" spans="1:13" s="3" customFormat="1" x14ac:dyDescent="0.2">
      <c r="A15" s="4"/>
      <c r="B15" s="521"/>
      <c r="C15" s="522"/>
      <c r="D15" s="522"/>
      <c r="E15" s="522"/>
      <c r="F15" s="522"/>
      <c r="G15" s="522"/>
      <c r="H15" s="522"/>
      <c r="I15" s="523"/>
      <c r="J15" s="4"/>
    </row>
    <row r="16" spans="1:13" s="3" customFormat="1" x14ac:dyDescent="0.2">
      <c r="A16" s="4"/>
      <c r="B16" s="521"/>
      <c r="C16" s="522"/>
      <c r="D16" s="522"/>
      <c r="E16" s="522"/>
      <c r="F16" s="522"/>
      <c r="G16" s="522"/>
      <c r="H16" s="522"/>
      <c r="I16" s="523"/>
      <c r="J16" s="4"/>
    </row>
    <row r="17" spans="1:22" s="3" customFormat="1" x14ac:dyDescent="0.2">
      <c r="A17" s="4"/>
      <c r="B17" s="521"/>
      <c r="C17" s="522"/>
      <c r="D17" s="522"/>
      <c r="E17" s="522"/>
      <c r="F17" s="522"/>
      <c r="G17" s="522"/>
      <c r="H17" s="522"/>
      <c r="I17" s="523"/>
      <c r="J17" s="4"/>
    </row>
    <row r="18" spans="1:22" s="3" customFormat="1" x14ac:dyDescent="0.2">
      <c r="A18" s="4"/>
      <c r="B18" s="521"/>
      <c r="C18" s="522"/>
      <c r="D18" s="522"/>
      <c r="E18" s="522"/>
      <c r="F18" s="522"/>
      <c r="G18" s="522"/>
      <c r="H18" s="522"/>
      <c r="I18" s="523"/>
      <c r="J18" s="4"/>
    </row>
    <row r="19" spans="1:22" s="3" customFormat="1" x14ac:dyDescent="0.2">
      <c r="A19" s="4"/>
      <c r="B19" s="521"/>
      <c r="C19" s="522"/>
      <c r="D19" s="522"/>
      <c r="E19" s="522"/>
      <c r="F19" s="522"/>
      <c r="G19" s="522"/>
      <c r="H19" s="522"/>
      <c r="I19" s="523"/>
      <c r="J19" s="4"/>
    </row>
    <row r="20" spans="1:22" s="3" customFormat="1" x14ac:dyDescent="0.2">
      <c r="A20" s="4"/>
      <c r="B20" s="521"/>
      <c r="C20" s="522"/>
      <c r="D20" s="522"/>
      <c r="E20" s="522"/>
      <c r="F20" s="522"/>
      <c r="G20" s="522"/>
      <c r="H20" s="522"/>
      <c r="I20" s="523"/>
      <c r="J20" s="4"/>
    </row>
    <row r="21" spans="1:22" s="3" customFormat="1" x14ac:dyDescent="0.2">
      <c r="A21" s="155"/>
      <c r="B21" s="521"/>
      <c r="C21" s="522"/>
      <c r="D21" s="522"/>
      <c r="E21" s="522"/>
      <c r="F21" s="522"/>
      <c r="G21" s="522"/>
      <c r="H21" s="522"/>
      <c r="I21" s="523"/>
      <c r="J21" s="155"/>
    </row>
    <row r="22" spans="1:22" s="3" customFormat="1" ht="18" x14ac:dyDescent="0.25">
      <c r="A22" s="77"/>
      <c r="B22" s="521"/>
      <c r="C22" s="522"/>
      <c r="D22" s="522"/>
      <c r="E22" s="522"/>
      <c r="F22" s="522"/>
      <c r="G22" s="522"/>
      <c r="H22" s="522"/>
      <c r="I22" s="523"/>
      <c r="J22" s="77"/>
    </row>
    <row r="23" spans="1:22" s="3" customFormat="1" x14ac:dyDescent="0.2">
      <c r="A23" s="4"/>
      <c r="B23" s="521"/>
      <c r="C23" s="522"/>
      <c r="D23" s="522"/>
      <c r="E23" s="522"/>
      <c r="F23" s="522"/>
      <c r="G23" s="522"/>
      <c r="H23" s="522"/>
      <c r="I23" s="523"/>
      <c r="J23" s="4"/>
    </row>
    <row r="24" spans="1:22" s="3" customFormat="1" x14ac:dyDescent="0.2">
      <c r="A24" s="4"/>
      <c r="B24" s="521"/>
      <c r="C24" s="522"/>
      <c r="D24" s="522"/>
      <c r="E24" s="522"/>
      <c r="F24" s="522"/>
      <c r="G24" s="522"/>
      <c r="H24" s="522"/>
      <c r="I24" s="523"/>
      <c r="J24" s="4"/>
    </row>
    <row r="25" spans="1:22" s="3" customFormat="1" x14ac:dyDescent="0.2">
      <c r="A25" s="4"/>
      <c r="B25" s="521"/>
      <c r="C25" s="522"/>
      <c r="D25" s="522"/>
      <c r="E25" s="522"/>
      <c r="F25" s="522"/>
      <c r="G25" s="522"/>
      <c r="H25" s="522"/>
      <c r="I25" s="523"/>
      <c r="J25" s="4"/>
    </row>
    <row r="26" spans="1:22" s="3" customFormat="1" x14ac:dyDescent="0.2">
      <c r="A26" s="4"/>
      <c r="B26" s="521"/>
      <c r="C26" s="522"/>
      <c r="D26" s="522"/>
      <c r="E26" s="522"/>
      <c r="F26" s="522"/>
      <c r="G26" s="522"/>
      <c r="H26" s="522"/>
      <c r="I26" s="523"/>
      <c r="J26" s="4"/>
    </row>
    <row r="27" spans="1:22" s="3" customFormat="1" x14ac:dyDescent="0.2">
      <c r="A27" s="4"/>
      <c r="B27" s="521"/>
      <c r="C27" s="522"/>
      <c r="D27" s="522"/>
      <c r="E27" s="522"/>
      <c r="F27" s="522"/>
      <c r="G27" s="522"/>
      <c r="H27" s="522"/>
      <c r="I27" s="523"/>
      <c r="J27" s="4"/>
      <c r="U27" s="186"/>
      <c r="V27" s="186"/>
    </row>
    <row r="28" spans="1:22" s="3" customFormat="1" ht="25.5" customHeight="1" x14ac:dyDescent="0.2">
      <c r="A28" s="4"/>
      <c r="B28" s="521"/>
      <c r="C28" s="522"/>
      <c r="D28" s="522"/>
      <c r="E28" s="522"/>
      <c r="F28" s="522"/>
      <c r="G28" s="522"/>
      <c r="H28" s="522"/>
      <c r="I28" s="523"/>
      <c r="J28" s="4"/>
    </row>
    <row r="29" spans="1:22" x14ac:dyDescent="0.2">
      <c r="B29" s="521"/>
      <c r="C29" s="522"/>
      <c r="D29" s="522"/>
      <c r="E29" s="522"/>
      <c r="F29" s="522"/>
      <c r="G29" s="522"/>
      <c r="H29" s="522"/>
      <c r="I29" s="523"/>
    </row>
    <row r="30" spans="1:22" s="3" customFormat="1" ht="22.5" customHeight="1" x14ac:dyDescent="0.2">
      <c r="A30" s="4"/>
      <c r="B30" s="521"/>
      <c r="C30" s="522"/>
      <c r="D30" s="522"/>
      <c r="E30" s="522"/>
      <c r="F30" s="522"/>
      <c r="G30" s="522"/>
      <c r="H30" s="522"/>
      <c r="I30" s="523"/>
      <c r="J30" s="4"/>
      <c r="K30" s="175"/>
    </row>
    <row r="31" spans="1:22" s="3" customFormat="1" ht="22.5" customHeight="1" x14ac:dyDescent="0.2">
      <c r="A31" s="4"/>
      <c r="B31" s="521"/>
      <c r="C31" s="522"/>
      <c r="D31" s="522"/>
      <c r="E31" s="522"/>
      <c r="F31" s="522"/>
      <c r="G31" s="522"/>
      <c r="H31" s="522"/>
      <c r="I31" s="523"/>
      <c r="J31" s="4"/>
    </row>
    <row r="32" spans="1:22" s="3" customFormat="1" ht="22.5" customHeight="1" x14ac:dyDescent="0.2">
      <c r="A32" s="4"/>
      <c r="B32" s="524"/>
      <c r="C32" s="525"/>
      <c r="D32" s="525"/>
      <c r="E32" s="525"/>
      <c r="F32" s="525"/>
      <c r="G32" s="525"/>
      <c r="H32" s="525"/>
      <c r="I32" s="526"/>
      <c r="J32" s="4"/>
    </row>
    <row r="33" spans="1:25" s="3" customFormat="1" ht="22.5" customHeight="1" x14ac:dyDescent="0.2">
      <c r="A33" s="4"/>
      <c r="B33" s="2" t="s">
        <v>5</v>
      </c>
      <c r="C33" s="91"/>
      <c r="D33" s="92"/>
      <c r="E33" s="92"/>
      <c r="F33" s="92"/>
      <c r="G33" s="92"/>
      <c r="H33" s="92"/>
      <c r="I33" s="93"/>
      <c r="J33" s="4"/>
    </row>
    <row r="34" spans="1:25" s="144" customFormat="1" ht="18" x14ac:dyDescent="0.2">
      <c r="A34" s="4"/>
      <c r="B34" s="76" t="s">
        <v>6</v>
      </c>
      <c r="C34" s="168"/>
      <c r="D34" s="169"/>
      <c r="E34" s="169"/>
      <c r="F34" s="169"/>
      <c r="G34" s="85"/>
      <c r="H34" s="169"/>
      <c r="I34" s="169"/>
      <c r="J34" s="4"/>
      <c r="K34" s="172"/>
      <c r="L34" s="168"/>
      <c r="M34" s="168"/>
      <c r="N34" s="168"/>
      <c r="O34" s="168"/>
      <c r="P34" s="168"/>
      <c r="Q34" s="168"/>
      <c r="R34" s="169"/>
      <c r="S34" s="169"/>
      <c r="T34" s="169"/>
      <c r="U34" s="5"/>
      <c r="V34" s="5"/>
      <c r="W34" s="5"/>
      <c r="X34" s="5"/>
      <c r="Y34" s="5"/>
    </row>
    <row r="35" spans="1:25" s="3" customFormat="1" ht="22.5" customHeight="1" x14ac:dyDescent="0.2">
      <c r="A35" s="4"/>
      <c r="B35" s="2"/>
      <c r="C35" s="91"/>
      <c r="D35" s="92"/>
      <c r="E35" s="92"/>
      <c r="F35" s="92"/>
      <c r="G35" s="92"/>
      <c r="H35" s="92"/>
      <c r="I35" s="93"/>
      <c r="J35" s="4"/>
    </row>
    <row r="36" spans="1:25" s="3" customFormat="1" ht="22.5" hidden="1" customHeight="1" x14ac:dyDescent="0.2">
      <c r="A36" s="4"/>
      <c r="B36" s="88"/>
      <c r="C36" s="88"/>
      <c r="D36" s="89"/>
      <c r="E36" s="89"/>
      <c r="F36" s="89"/>
      <c r="G36" s="89"/>
      <c r="H36" s="89"/>
      <c r="I36" s="90"/>
      <c r="J36" s="4"/>
    </row>
    <row r="37" spans="1:25" s="3" customFormat="1" ht="22.5" hidden="1" customHeight="1" x14ac:dyDescent="0.2">
      <c r="A37" s="4"/>
      <c r="B37" s="2"/>
      <c r="C37" s="91"/>
      <c r="D37" s="92"/>
      <c r="E37" s="92"/>
      <c r="F37" s="92"/>
      <c r="G37" s="92"/>
      <c r="H37" s="92"/>
      <c r="I37" s="93"/>
      <c r="J37" s="4"/>
    </row>
    <row r="38" spans="1:25" s="3" customFormat="1" ht="22.5" hidden="1" customHeight="1" x14ac:dyDescent="0.2">
      <c r="A38" s="4"/>
      <c r="B38" s="2"/>
      <c r="C38" s="91"/>
      <c r="D38" s="92"/>
      <c r="E38" s="92"/>
      <c r="F38" s="92"/>
      <c r="G38" s="92"/>
      <c r="H38" s="92"/>
      <c r="I38" s="93"/>
      <c r="J38" s="4"/>
    </row>
    <row r="39" spans="1:25" s="3" customFormat="1" ht="22.5" hidden="1" customHeight="1" x14ac:dyDescent="0.2">
      <c r="A39" s="4"/>
      <c r="B39" s="2"/>
      <c r="C39" s="91"/>
      <c r="D39" s="92"/>
      <c r="E39" s="92"/>
      <c r="F39" s="92"/>
      <c r="G39" s="92"/>
      <c r="H39" s="92"/>
      <c r="I39" s="93"/>
      <c r="J39" s="4"/>
    </row>
    <row r="40" spans="1:25" s="3" customFormat="1" ht="22.5" hidden="1" customHeight="1" x14ac:dyDescent="0.2">
      <c r="A40" s="4"/>
      <c r="B40" s="2"/>
      <c r="C40" s="91"/>
      <c r="D40" s="92"/>
      <c r="E40" s="92"/>
      <c r="F40" s="92"/>
      <c r="G40" s="92"/>
      <c r="H40" s="92"/>
      <c r="I40" s="93"/>
      <c r="J40" s="4"/>
    </row>
    <row r="41" spans="1:25" s="3" customFormat="1" ht="22.5" hidden="1" customHeight="1" x14ac:dyDescent="0.2">
      <c r="A41" s="4"/>
      <c r="B41" s="2"/>
      <c r="C41" s="91"/>
      <c r="D41" s="92"/>
      <c r="E41" s="92"/>
      <c r="F41" s="92"/>
      <c r="G41" s="92"/>
      <c r="H41" s="92"/>
      <c r="I41" s="93"/>
      <c r="J41" s="4"/>
    </row>
    <row r="42" spans="1:25" s="3" customFormat="1" ht="22.5" hidden="1" customHeight="1" x14ac:dyDescent="0.2">
      <c r="A42" s="4"/>
      <c r="B42" s="2"/>
      <c r="C42" s="91"/>
      <c r="D42" s="92"/>
      <c r="E42" s="92"/>
      <c r="F42" s="92"/>
      <c r="G42" s="92"/>
      <c r="H42" s="92"/>
      <c r="I42" s="93"/>
      <c r="J42" s="4"/>
    </row>
    <row r="43" spans="1:25" s="3" customFormat="1" ht="22.5" hidden="1" customHeight="1" x14ac:dyDescent="0.2">
      <c r="A43" s="4"/>
      <c r="B43" s="88"/>
      <c r="C43" s="88"/>
      <c r="D43" s="89"/>
      <c r="E43" s="89"/>
      <c r="F43" s="89"/>
      <c r="G43" s="89"/>
      <c r="H43" s="89"/>
      <c r="I43" s="90"/>
      <c r="J43" s="4"/>
    </row>
    <row r="44" spans="1:25" s="3" customFormat="1" ht="22.5" hidden="1" customHeight="1" x14ac:dyDescent="0.2">
      <c r="A44" s="4"/>
      <c r="B44" s="2"/>
      <c r="C44" s="91"/>
      <c r="D44" s="92"/>
      <c r="E44" s="92"/>
      <c r="F44" s="92"/>
      <c r="G44" s="92"/>
      <c r="H44" s="92"/>
      <c r="I44" s="93"/>
      <c r="J44" s="4"/>
    </row>
    <row r="45" spans="1:25" s="3" customFormat="1" ht="22.5" hidden="1" customHeight="1" x14ac:dyDescent="0.2">
      <c r="A45" s="4"/>
      <c r="B45" s="2"/>
      <c r="C45" s="91"/>
      <c r="D45" s="92"/>
      <c r="E45" s="92"/>
      <c r="F45" s="92"/>
      <c r="G45" s="92"/>
      <c r="H45" s="92"/>
      <c r="I45" s="93"/>
      <c r="J45" s="4"/>
    </row>
    <row r="46" spans="1:25" s="3" customFormat="1" ht="22.5" hidden="1" customHeight="1" x14ac:dyDescent="0.2">
      <c r="A46" s="4"/>
      <c r="B46" s="2"/>
      <c r="C46" s="91"/>
      <c r="D46" s="92"/>
      <c r="E46" s="92"/>
      <c r="F46" s="92"/>
      <c r="G46" s="92"/>
      <c r="H46" s="92"/>
      <c r="I46" s="93"/>
      <c r="J46" s="4"/>
    </row>
    <row r="47" spans="1:25" s="3" customFormat="1" ht="22.5" hidden="1" customHeight="1" x14ac:dyDescent="0.2">
      <c r="A47" s="4"/>
      <c r="B47" s="2"/>
      <c r="C47" s="91"/>
      <c r="D47" s="92"/>
      <c r="E47" s="92"/>
      <c r="F47" s="92"/>
      <c r="G47" s="92"/>
      <c r="H47" s="92"/>
      <c r="I47" s="93"/>
      <c r="J47" s="4"/>
    </row>
    <row r="48" spans="1:25" s="3" customFormat="1" ht="22.5" hidden="1" customHeight="1" x14ac:dyDescent="0.2">
      <c r="A48" s="4"/>
      <c r="B48" s="2"/>
      <c r="C48" s="91"/>
      <c r="D48" s="92"/>
      <c r="E48" s="92"/>
      <c r="F48" s="92"/>
      <c r="G48" s="92"/>
      <c r="H48" s="92"/>
      <c r="I48" s="93"/>
      <c r="J48" s="4"/>
    </row>
    <row r="49" spans="1:11" s="3" customFormat="1" ht="22.5" hidden="1" customHeight="1" x14ac:dyDescent="0.2">
      <c r="A49" s="4"/>
      <c r="B49" s="2"/>
      <c r="C49" s="91"/>
      <c r="D49" s="92"/>
      <c r="E49" s="92"/>
      <c r="F49" s="92"/>
      <c r="G49" s="92"/>
      <c r="H49" s="92"/>
      <c r="I49" s="93"/>
      <c r="J49" s="4"/>
    </row>
    <row r="50" spans="1:11" s="3" customFormat="1" ht="22.5" hidden="1" customHeight="1" x14ac:dyDescent="0.2">
      <c r="A50" s="4"/>
      <c r="B50" s="94"/>
      <c r="C50" s="94"/>
      <c r="D50" s="95"/>
      <c r="E50" s="95"/>
      <c r="F50" s="95"/>
      <c r="G50" s="95"/>
      <c r="H50" s="95"/>
      <c r="I50" s="90"/>
      <c r="J50" s="4"/>
    </row>
    <row r="51" spans="1:11" s="3" customFormat="1" ht="15" hidden="1" customHeight="1" x14ac:dyDescent="0.2">
      <c r="A51" s="4"/>
      <c r="B51" s="2"/>
      <c r="C51" s="1"/>
      <c r="D51" s="9"/>
      <c r="E51" s="9"/>
      <c r="F51" s="9"/>
      <c r="G51" s="9"/>
      <c r="H51" s="9"/>
      <c r="I51" s="178"/>
      <c r="J51" s="4"/>
    </row>
    <row r="52" spans="1:11" s="3" customFormat="1" ht="19.5" hidden="1" x14ac:dyDescent="0.2">
      <c r="A52" s="4"/>
      <c r="B52" s="87"/>
      <c r="C52" s="1"/>
      <c r="D52" s="1"/>
      <c r="E52" s="1"/>
      <c r="F52" s="1"/>
      <c r="G52" s="1"/>
      <c r="H52" s="1"/>
      <c r="I52" s="87"/>
      <c r="J52" s="4"/>
    </row>
    <row r="53" spans="1:11" s="3" customFormat="1" ht="18" hidden="1" x14ac:dyDescent="0.2">
      <c r="A53" s="4"/>
      <c r="B53" s="88"/>
      <c r="C53" s="88"/>
      <c r="D53" s="96"/>
      <c r="E53" s="96"/>
      <c r="F53" s="96"/>
      <c r="G53" s="96"/>
      <c r="H53" s="96"/>
      <c r="I53" s="90"/>
      <c r="J53" s="4"/>
    </row>
    <row r="54" spans="1:11" s="3" customFormat="1" ht="18" hidden="1" x14ac:dyDescent="0.2">
      <c r="A54" s="4"/>
      <c r="B54" s="88"/>
      <c r="C54" s="88"/>
      <c r="D54" s="96"/>
      <c r="E54" s="96"/>
      <c r="F54" s="96"/>
      <c r="G54" s="96"/>
      <c r="H54" s="96"/>
      <c r="I54" s="90"/>
      <c r="J54" s="4"/>
    </row>
    <row r="55" spans="1:11" s="3" customFormat="1" ht="30.75" hidden="1" customHeight="1" x14ac:dyDescent="0.2">
      <c r="A55" s="4"/>
      <c r="B55" s="88"/>
      <c r="C55" s="88"/>
      <c r="D55" s="89"/>
      <c r="E55" s="89"/>
      <c r="F55" s="89"/>
      <c r="G55" s="89"/>
      <c r="H55" s="89"/>
      <c r="I55" s="90"/>
      <c r="J55" s="4"/>
    </row>
    <row r="56" spans="1:11" s="3" customFormat="1" ht="35.25" hidden="1" customHeight="1" x14ac:dyDescent="0.2">
      <c r="A56" s="4"/>
      <c r="B56" s="88"/>
      <c r="C56" s="88"/>
      <c r="D56" s="97"/>
      <c r="E56" s="97"/>
      <c r="F56" s="97"/>
      <c r="G56" s="97"/>
      <c r="H56" s="97"/>
      <c r="I56" s="90"/>
      <c r="J56" s="4"/>
    </row>
    <row r="57" spans="1:11" s="3" customFormat="1" ht="18" hidden="1" x14ac:dyDescent="0.2">
      <c r="A57" s="4"/>
      <c r="B57" s="94"/>
      <c r="C57" s="94"/>
      <c r="D57" s="95"/>
      <c r="E57" s="95"/>
      <c r="F57" s="95"/>
      <c r="G57" s="95"/>
      <c r="H57" s="95"/>
      <c r="I57" s="90"/>
      <c r="J57" s="4"/>
    </row>
    <row r="58" spans="1:11" s="3" customFormat="1" ht="14.25" hidden="1" customHeight="1" x14ac:dyDescent="0.2">
      <c r="A58" s="4"/>
      <c r="B58" s="2"/>
      <c r="C58" s="1"/>
      <c r="D58" s="10"/>
      <c r="E58" s="10"/>
      <c r="F58" s="10"/>
      <c r="G58" s="10"/>
      <c r="H58" s="10"/>
      <c r="I58" s="14"/>
      <c r="J58" s="4"/>
    </row>
    <row r="59" spans="1:11" s="3" customFormat="1" ht="22.5" hidden="1" customHeight="1" x14ac:dyDescent="0.2">
      <c r="A59" s="4"/>
      <c r="B59" s="87"/>
      <c r="C59" s="1"/>
      <c r="D59" s="1"/>
      <c r="E59" s="1"/>
      <c r="F59" s="1"/>
      <c r="G59" s="1"/>
      <c r="H59" s="1"/>
      <c r="I59" s="87"/>
      <c r="J59" s="4"/>
    </row>
    <row r="60" spans="1:11" s="3" customFormat="1" ht="22.5" hidden="1" customHeight="1" x14ac:dyDescent="0.2">
      <c r="A60" s="4"/>
      <c r="B60" s="88"/>
      <c r="C60" s="88"/>
      <c r="D60" s="89"/>
      <c r="E60" s="89"/>
      <c r="F60" s="89"/>
      <c r="G60" s="89"/>
      <c r="H60" s="89"/>
      <c r="I60" s="90"/>
      <c r="J60" s="4"/>
    </row>
    <row r="61" spans="1:11" s="3" customFormat="1" ht="22.5" hidden="1" customHeight="1" x14ac:dyDescent="0.2">
      <c r="A61" s="4"/>
      <c r="B61" s="88"/>
      <c r="C61" s="88"/>
      <c r="D61" s="89"/>
      <c r="E61" s="89"/>
      <c r="F61" s="89"/>
      <c r="G61" s="89"/>
      <c r="H61" s="89"/>
      <c r="I61" s="90"/>
      <c r="J61" s="4"/>
    </row>
    <row r="62" spans="1:11" s="3" customFormat="1" ht="29.1" hidden="1" customHeight="1" x14ac:dyDescent="0.2">
      <c r="A62" s="4"/>
      <c r="B62" s="88"/>
      <c r="C62" s="88"/>
      <c r="D62" s="89"/>
      <c r="E62" s="89"/>
      <c r="F62" s="89"/>
      <c r="G62" s="89"/>
      <c r="H62" s="89"/>
      <c r="I62" s="90"/>
      <c r="J62" s="4"/>
      <c r="K62" s="178"/>
    </row>
    <row r="63" spans="1:11" s="3" customFormat="1" ht="18" hidden="1" x14ac:dyDescent="0.2">
      <c r="A63" s="4"/>
      <c r="B63" s="94"/>
      <c r="C63" s="94"/>
      <c r="D63" s="95"/>
      <c r="E63" s="95"/>
      <c r="F63" s="95"/>
      <c r="G63" s="95"/>
      <c r="H63" s="95"/>
      <c r="I63" s="90"/>
      <c r="J63" s="4"/>
    </row>
    <row r="64" spans="1:11" s="3" customFormat="1" hidden="1" x14ac:dyDescent="0.2">
      <c r="A64" s="4"/>
      <c r="I64" s="14"/>
      <c r="J64" s="4"/>
    </row>
    <row r="65" spans="1:14" s="3" customFormat="1" ht="22.5" hidden="1" customHeight="1" x14ac:dyDescent="0.2">
      <c r="A65" s="4"/>
      <c r="B65" s="87"/>
      <c r="C65" s="1"/>
      <c r="D65" s="1"/>
      <c r="E65" s="1"/>
      <c r="F65" s="1"/>
      <c r="G65" s="1"/>
      <c r="H65" s="1"/>
      <c r="I65" s="87"/>
      <c r="J65" s="4"/>
    </row>
    <row r="66" spans="1:14" s="3" customFormat="1" ht="22.5" hidden="1" customHeight="1" x14ac:dyDescent="0.2">
      <c r="A66" s="4"/>
      <c r="B66" s="88"/>
      <c r="C66" s="88"/>
      <c r="D66" s="89"/>
      <c r="E66" s="89"/>
      <c r="F66" s="89"/>
      <c r="G66" s="89"/>
      <c r="H66" s="89"/>
      <c r="I66" s="98"/>
      <c r="J66" s="4"/>
    </row>
    <row r="67" spans="1:14" s="3" customFormat="1" ht="25.5" hidden="1" customHeight="1" x14ac:dyDescent="0.2">
      <c r="A67" s="4"/>
      <c r="B67" s="99"/>
      <c r="C67" s="99"/>
      <c r="D67" s="95"/>
      <c r="E67" s="95"/>
      <c r="F67" s="95"/>
      <c r="G67" s="95"/>
      <c r="H67" s="95"/>
      <c r="I67" s="90"/>
      <c r="J67" s="4"/>
      <c r="K67" s="178"/>
    </row>
    <row r="68" spans="1:14" s="3" customFormat="1" hidden="1" x14ac:dyDescent="0.2">
      <c r="A68" s="4"/>
      <c r="I68" s="14"/>
      <c r="J68" s="4"/>
    </row>
    <row r="69" spans="1:14" s="3" customFormat="1" ht="18" hidden="1" x14ac:dyDescent="0.2">
      <c r="A69" s="4"/>
      <c r="B69" s="88"/>
      <c r="C69" s="501"/>
      <c r="D69" s="100"/>
      <c r="E69" s="100"/>
      <c r="F69" s="100"/>
      <c r="G69" s="100"/>
      <c r="H69" s="100"/>
      <c r="I69" s="98"/>
      <c r="J69" s="4"/>
    </row>
    <row r="70" spans="1:14" s="3" customFormat="1" hidden="1" x14ac:dyDescent="0.2">
      <c r="A70" s="4"/>
      <c r="I70" s="14"/>
      <c r="J70" s="4"/>
    </row>
    <row r="71" spans="1:14" s="180" customFormat="1" ht="30" hidden="1" customHeight="1" x14ac:dyDescent="0.25">
      <c r="A71" s="4"/>
      <c r="B71" s="94"/>
      <c r="C71" s="94"/>
      <c r="D71" s="95"/>
      <c r="E71" s="95"/>
      <c r="F71" s="95"/>
      <c r="G71" s="95"/>
      <c r="H71" s="95"/>
      <c r="I71" s="14"/>
      <c r="J71" s="4"/>
    </row>
    <row r="72" spans="1:14" s="3" customFormat="1" hidden="1" x14ac:dyDescent="0.2">
      <c r="A72" s="4"/>
      <c r="I72" s="14"/>
      <c r="J72" s="4"/>
    </row>
    <row r="73" spans="1:14" s="3" customFormat="1" hidden="1" x14ac:dyDescent="0.2">
      <c r="A73" s="4"/>
      <c r="I73" s="14"/>
      <c r="J73" s="4"/>
    </row>
    <row r="74" spans="1:14" s="3" customFormat="1" hidden="1" x14ac:dyDescent="0.2">
      <c r="A74" s="4"/>
      <c r="I74" s="14"/>
      <c r="J74" s="4"/>
    </row>
    <row r="75" spans="1:14" s="3" customFormat="1" hidden="1" x14ac:dyDescent="0.2">
      <c r="A75" s="4"/>
      <c r="B75" s="101"/>
      <c r="I75" s="14"/>
      <c r="J75" s="4"/>
    </row>
    <row r="76" spans="1:14" s="11" customFormat="1" ht="153.75" hidden="1" customHeight="1" x14ac:dyDescent="0.2">
      <c r="A76" s="4"/>
      <c r="B76" s="102"/>
      <c r="C76" s="102"/>
      <c r="D76" s="102"/>
      <c r="E76" s="102"/>
      <c r="I76" s="14"/>
      <c r="J76" s="4"/>
    </row>
    <row r="77" spans="1:14" s="11" customFormat="1" hidden="1" x14ac:dyDescent="0.2">
      <c r="A77" s="4"/>
      <c r="I77" s="14"/>
      <c r="J77" s="4"/>
    </row>
    <row r="78" spans="1:14" s="11" customFormat="1" ht="19.5" hidden="1" x14ac:dyDescent="0.2">
      <c r="A78" s="4"/>
      <c r="B78" s="99"/>
      <c r="C78" s="103"/>
      <c r="D78" s="103"/>
      <c r="E78" s="103"/>
      <c r="F78" s="3"/>
      <c r="G78" s="3"/>
      <c r="H78" s="3"/>
      <c r="I78" s="14"/>
      <c r="J78" s="4"/>
      <c r="K78" s="3"/>
      <c r="L78" s="3"/>
      <c r="M78" s="3"/>
      <c r="N78" s="3"/>
    </row>
    <row r="79" spans="1:14" s="3" customFormat="1" ht="19.5" hidden="1" x14ac:dyDescent="0.2">
      <c r="A79" s="4"/>
      <c r="B79" s="99"/>
      <c r="C79" s="104"/>
      <c r="D79" s="104"/>
      <c r="E79" s="104"/>
      <c r="I79" s="14"/>
      <c r="J79" s="4"/>
    </row>
    <row r="80" spans="1:14" s="3" customFormat="1" hidden="1" x14ac:dyDescent="0.2">
      <c r="A80" s="157"/>
      <c r="I80" s="14"/>
      <c r="J80" s="157"/>
    </row>
    <row r="81" spans="1:10" s="3" customFormat="1" hidden="1" x14ac:dyDescent="0.2">
      <c r="A81" s="4"/>
      <c r="I81" s="14"/>
      <c r="J81" s="4"/>
    </row>
    <row r="82" spans="1:10" s="3" customFormat="1" hidden="1" x14ac:dyDescent="0.2">
      <c r="A82" s="4"/>
      <c r="I82" s="14"/>
      <c r="J82" s="4"/>
    </row>
    <row r="83" spans="1:10" s="3" customFormat="1" hidden="1" x14ac:dyDescent="0.2">
      <c r="A83" s="4"/>
      <c r="I83" s="14"/>
      <c r="J83" s="4"/>
    </row>
    <row r="84" spans="1:10" s="3" customFormat="1" hidden="1" x14ac:dyDescent="0.2">
      <c r="A84" s="4"/>
      <c r="I84" s="14"/>
      <c r="J84" s="4"/>
    </row>
    <row r="85" spans="1:10" s="3" customFormat="1" hidden="1" x14ac:dyDescent="0.2">
      <c r="A85" s="4"/>
      <c r="I85" s="14"/>
      <c r="J85" s="4"/>
    </row>
    <row r="86" spans="1:10" s="3" customFormat="1" hidden="1" x14ac:dyDescent="0.2">
      <c r="A86" s="4"/>
      <c r="I86" s="14"/>
      <c r="J86" s="4"/>
    </row>
    <row r="87" spans="1:10" s="3" customFormat="1" hidden="1" x14ac:dyDescent="0.2">
      <c r="A87" s="4"/>
      <c r="I87" s="14"/>
      <c r="J87" s="4"/>
    </row>
    <row r="88" spans="1:10" s="3" customFormat="1" hidden="1" x14ac:dyDescent="0.2">
      <c r="A88" s="4"/>
      <c r="I88" s="14"/>
      <c r="J88" s="4"/>
    </row>
    <row r="89" spans="1:10" s="3" customFormat="1" hidden="1" x14ac:dyDescent="0.2">
      <c r="A89" s="4"/>
      <c r="I89" s="14"/>
      <c r="J89" s="4"/>
    </row>
    <row r="90" spans="1:10" s="3" customFormat="1" hidden="1" x14ac:dyDescent="0.2">
      <c r="A90" s="4"/>
      <c r="I90" s="14"/>
      <c r="J90" s="4"/>
    </row>
    <row r="91" spans="1:10" s="3" customFormat="1" hidden="1" x14ac:dyDescent="0.2">
      <c r="A91" s="4"/>
      <c r="I91" s="14"/>
      <c r="J91" s="4"/>
    </row>
    <row r="92" spans="1:10" s="3" customFormat="1" hidden="1" x14ac:dyDescent="0.2">
      <c r="A92" s="4"/>
      <c r="I92" s="14"/>
      <c r="J92" s="4"/>
    </row>
    <row r="247" spans="1:10" hidden="1" x14ac:dyDescent="0.2">
      <c r="A247" s="168"/>
      <c r="J247" s="168"/>
    </row>
  </sheetData>
  <sheetProtection algorithmName="SHA-512" hashValue="5j+DWrKSZvaU/WxtAPrvFJtXF6K1b672Nrq6e6L7Ute9D1NukJQEmW+0y0gMYCubKe1gAwIt/7RyctoD68Kfhg==" saltValue="omMpolUw4QZCRIDYWY3bwg==" spinCount="100000" sheet="1" objects="1" scenarios="1"/>
  <mergeCells count="6">
    <mergeCell ref="B12:I32"/>
    <mergeCell ref="B6:I6"/>
    <mergeCell ref="B7:I9"/>
    <mergeCell ref="B11:I11"/>
    <mergeCell ref="B2:I2"/>
    <mergeCell ref="B3:I3"/>
  </mergeCells>
  <dataValidations disablePrompts="1" count="1">
    <dataValidation type="list" allowBlank="1" showInputMessage="1" showErrorMessage="1" sqref="C69">
      <formula1>$M$4:$M$9</formula1>
    </dataValidation>
  </dataValidations>
  <pageMargins left="0.25" right="0.25"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85"/>
  <sheetViews>
    <sheetView zoomScaleNormal="100" workbookViewId="0">
      <selection activeCell="D13" sqref="D13:I13"/>
    </sheetView>
  </sheetViews>
  <sheetFormatPr defaultColWidth="0" defaultRowHeight="14.25" zeroHeight="1" outlineLevelRow="1" x14ac:dyDescent="0.2"/>
  <cols>
    <col min="1" max="1" width="4.5703125" style="4" customWidth="1"/>
    <col min="2" max="2" width="21" style="174" customWidth="1"/>
    <col min="3" max="3" width="22.5703125" style="183" customWidth="1"/>
    <col min="4" max="4" width="18" style="174" customWidth="1"/>
    <col min="5" max="5" width="18.28515625" style="174" customWidth="1"/>
    <col min="6" max="6" width="18.7109375" style="174" customWidth="1"/>
    <col min="7" max="7" width="18.28515625" style="174" customWidth="1"/>
    <col min="8" max="8" width="18.5703125" style="174" customWidth="1"/>
    <col min="9" max="9" width="64.42578125" style="14" customWidth="1"/>
    <col min="10" max="10" width="4.5703125" style="4" customWidth="1"/>
    <col min="11" max="11" width="15.42578125" style="3" hidden="1" customWidth="1"/>
    <col min="12" max="16384" width="8.7109375" style="3" hidden="1"/>
  </cols>
  <sheetData>
    <row r="1" spans="1:17" s="141" customFormat="1" ht="23.25" thickBot="1" x14ac:dyDescent="0.25">
      <c r="A1" s="140"/>
      <c r="B1" s="204" t="str" cm="1">
        <f t="array" aca="1" ref="B1" ca="1">MID(CELL("filename",A9),FIND("]",CELL("filename",A9))+1,255)</f>
        <v>Summary</v>
      </c>
      <c r="C1" s="173"/>
      <c r="J1" s="140"/>
      <c r="K1" s="171"/>
      <c r="L1" s="140"/>
      <c r="M1" s="140"/>
      <c r="N1" s="140"/>
      <c r="O1" s="140"/>
      <c r="P1" s="140"/>
      <c r="Q1" s="140"/>
    </row>
    <row r="2" spans="1:17" ht="15" customHeight="1" x14ac:dyDescent="0.2">
      <c r="B2" s="3"/>
      <c r="C2" s="116"/>
      <c r="D2" s="3"/>
      <c r="E2" s="3"/>
      <c r="F2" s="3"/>
      <c r="G2" s="3"/>
      <c r="H2" s="3"/>
      <c r="I2" s="3"/>
    </row>
    <row r="3" spans="1:17" ht="18" x14ac:dyDescent="0.25">
      <c r="A3" s="77"/>
      <c r="B3" s="527" t="s">
        <v>7</v>
      </c>
      <c r="C3" s="527"/>
      <c r="D3" s="527"/>
      <c r="E3" s="527"/>
      <c r="F3" s="527"/>
      <c r="G3" s="527"/>
      <c r="H3" s="527"/>
      <c r="I3" s="527"/>
      <c r="M3" s="479"/>
    </row>
    <row r="4" spans="1:17" ht="19.5" customHeight="1" x14ac:dyDescent="0.25">
      <c r="A4" s="77"/>
      <c r="B4" s="535" t="s">
        <v>8</v>
      </c>
      <c r="C4" s="535"/>
      <c r="D4" s="535"/>
      <c r="E4" s="535"/>
      <c r="F4" s="535"/>
      <c r="G4" s="535"/>
      <c r="H4" s="535"/>
      <c r="I4" s="535"/>
      <c r="M4" s="480"/>
    </row>
    <row r="5" spans="1:17" ht="19.5" customHeight="1" x14ac:dyDescent="0.2">
      <c r="B5" s="535"/>
      <c r="C5" s="535"/>
      <c r="D5" s="535"/>
      <c r="E5" s="535"/>
      <c r="F5" s="535"/>
      <c r="G5" s="535"/>
      <c r="H5" s="535"/>
      <c r="I5" s="535"/>
      <c r="M5" s="480"/>
    </row>
    <row r="6" spans="1:17" ht="19.5" customHeight="1" x14ac:dyDescent="0.2">
      <c r="B6" s="535"/>
      <c r="C6" s="535"/>
      <c r="D6" s="535"/>
      <c r="E6" s="535"/>
      <c r="F6" s="535"/>
      <c r="G6" s="535"/>
      <c r="H6" s="535"/>
      <c r="I6" s="535"/>
      <c r="M6" s="480"/>
    </row>
    <row r="7" spans="1:17" ht="19.5" customHeight="1" x14ac:dyDescent="0.2">
      <c r="B7" s="535"/>
      <c r="C7" s="535"/>
      <c r="D7" s="535"/>
      <c r="E7" s="535"/>
      <c r="F7" s="535"/>
      <c r="G7" s="535"/>
      <c r="H7" s="535"/>
      <c r="I7" s="535"/>
      <c r="M7" s="480"/>
    </row>
    <row r="8" spans="1:17" ht="19.5" customHeight="1" x14ac:dyDescent="0.2">
      <c r="B8" s="535"/>
      <c r="C8" s="535"/>
      <c r="D8" s="535"/>
      <c r="E8" s="535"/>
      <c r="F8" s="535"/>
      <c r="G8" s="535"/>
      <c r="H8" s="535"/>
      <c r="I8" s="535"/>
      <c r="M8" s="480"/>
    </row>
    <row r="9" spans="1:17" x14ac:dyDescent="0.2">
      <c r="B9" s="3"/>
      <c r="C9" s="116"/>
      <c r="D9" s="3"/>
      <c r="E9" s="3"/>
      <c r="F9" s="3"/>
      <c r="G9" s="3"/>
      <c r="H9" s="3"/>
      <c r="I9" s="3"/>
      <c r="M9" s="480"/>
    </row>
    <row r="10" spans="1:17" s="178" customFormat="1" ht="42.75" x14ac:dyDescent="0.25">
      <c r="A10" s="155"/>
      <c r="B10" s="458" t="s">
        <v>291</v>
      </c>
      <c r="C10" s="462" t="s">
        <v>294</v>
      </c>
      <c r="D10" s="510" t="s">
        <v>292</v>
      </c>
      <c r="E10" s="497" t="s">
        <v>292</v>
      </c>
      <c r="F10" s="460" t="s">
        <v>293</v>
      </c>
      <c r="J10" s="155"/>
      <c r="M10" s="481"/>
    </row>
    <row r="11" spans="1:17" x14ac:dyDescent="0.2">
      <c r="B11" s="3"/>
      <c r="C11" s="116"/>
      <c r="D11" s="3"/>
      <c r="E11" s="3"/>
      <c r="F11" s="3"/>
      <c r="G11" s="3"/>
      <c r="H11" s="3"/>
      <c r="I11" s="3"/>
      <c r="M11" s="480"/>
    </row>
    <row r="12" spans="1:17" x14ac:dyDescent="0.2">
      <c r="B12" s="75" t="s">
        <v>9</v>
      </c>
      <c r="C12" s="116"/>
      <c r="D12" s="3"/>
      <c r="E12" s="3"/>
      <c r="F12" s="3"/>
      <c r="G12" s="3"/>
      <c r="H12" s="3"/>
      <c r="M12" s="480"/>
    </row>
    <row r="13" spans="1:17" ht="35.450000000000003" customHeight="1" x14ac:dyDescent="0.2">
      <c r="B13" s="536" t="s">
        <v>10</v>
      </c>
      <c r="C13" s="536"/>
      <c r="D13" s="539"/>
      <c r="E13" s="539"/>
      <c r="F13" s="539"/>
      <c r="G13" s="539"/>
      <c r="H13" s="539"/>
      <c r="I13" s="539"/>
      <c r="M13" s="480"/>
    </row>
    <row r="14" spans="1:17" ht="21.6" customHeight="1" x14ac:dyDescent="0.2">
      <c r="B14" s="567" t="s">
        <v>11</v>
      </c>
      <c r="C14" s="567"/>
      <c r="D14" s="576"/>
      <c r="E14" s="576"/>
      <c r="F14" s="576"/>
      <c r="G14" s="576"/>
      <c r="H14" s="576"/>
      <c r="I14" s="576"/>
      <c r="M14" s="480"/>
    </row>
    <row r="15" spans="1:17" ht="21.6" customHeight="1" x14ac:dyDescent="0.2">
      <c r="B15" s="567" t="s">
        <v>12</v>
      </c>
      <c r="C15" s="567"/>
      <c r="D15" s="576"/>
      <c r="E15" s="576"/>
      <c r="F15" s="576"/>
      <c r="G15" s="576"/>
      <c r="H15" s="576"/>
      <c r="I15" s="576"/>
      <c r="M15" s="480"/>
    </row>
    <row r="16" spans="1:17" ht="21.6" customHeight="1" x14ac:dyDescent="0.2">
      <c r="B16" s="567" t="s">
        <v>13</v>
      </c>
      <c r="C16" s="567"/>
      <c r="D16" s="576"/>
      <c r="E16" s="576"/>
      <c r="F16" s="576"/>
      <c r="G16" s="576"/>
      <c r="H16" s="576"/>
      <c r="I16" s="576"/>
      <c r="M16" s="480"/>
    </row>
    <row r="17" spans="1:22" ht="22.35" customHeight="1" x14ac:dyDescent="0.2">
      <c r="B17" s="567" t="s">
        <v>14</v>
      </c>
      <c r="C17" s="567"/>
      <c r="D17" s="576"/>
      <c r="E17" s="576"/>
      <c r="F17" s="576"/>
      <c r="G17" s="576"/>
      <c r="H17" s="576"/>
      <c r="I17" s="576"/>
    </row>
    <row r="18" spans="1:22" ht="22.35" customHeight="1" x14ac:dyDescent="0.2">
      <c r="B18" s="3"/>
      <c r="C18" s="116"/>
      <c r="D18" s="3"/>
      <c r="E18" s="3"/>
      <c r="F18" s="3"/>
      <c r="G18" s="3"/>
      <c r="H18" s="3"/>
      <c r="I18" s="3"/>
    </row>
    <row r="19" spans="1:22" ht="19.5" customHeight="1" x14ac:dyDescent="0.2">
      <c r="B19" s="75" t="s">
        <v>15</v>
      </c>
      <c r="C19" s="116"/>
      <c r="D19" s="3"/>
      <c r="E19" s="3"/>
      <c r="F19" s="3"/>
      <c r="G19" s="3"/>
      <c r="H19" s="3"/>
    </row>
    <row r="20" spans="1:22" ht="22.5" customHeight="1" x14ac:dyDescent="0.2">
      <c r="B20" s="562" t="s">
        <v>16</v>
      </c>
      <c r="C20" s="563"/>
      <c r="D20" s="560" t="s">
        <v>17</v>
      </c>
      <c r="E20" s="557" t="s">
        <v>18</v>
      </c>
      <c r="F20" s="557" t="s">
        <v>19</v>
      </c>
      <c r="G20" s="557" t="s">
        <v>20</v>
      </c>
      <c r="H20" s="557" t="s">
        <v>21</v>
      </c>
      <c r="I20" s="549"/>
    </row>
    <row r="21" spans="1:22" ht="16.149999999999999" customHeight="1" x14ac:dyDescent="0.2">
      <c r="B21" s="564"/>
      <c r="C21" s="565"/>
      <c r="D21" s="561"/>
      <c r="E21" s="558"/>
      <c r="F21" s="558"/>
      <c r="G21" s="558"/>
      <c r="H21" s="558"/>
      <c r="I21" s="549"/>
      <c r="U21" s="186"/>
      <c r="V21" s="186"/>
    </row>
    <row r="22" spans="1:22" ht="19.5" x14ac:dyDescent="0.2">
      <c r="B22" s="115" t="s">
        <v>22</v>
      </c>
      <c r="C22" s="117"/>
      <c r="D22" s="34"/>
      <c r="E22" s="34"/>
      <c r="F22" s="34"/>
      <c r="G22" s="34"/>
      <c r="H22" s="463"/>
      <c r="I22" s="47" t="s">
        <v>2</v>
      </c>
    </row>
    <row r="23" spans="1:22" ht="28.5" x14ac:dyDescent="0.2">
      <c r="A23" s="155"/>
      <c r="B23" s="538" t="s">
        <v>23</v>
      </c>
      <c r="C23" s="540"/>
      <c r="D23" s="464">
        <f t="shared" ref="D23:E23" ca="1" si="0">SUM(D24:D29)</f>
        <v>0</v>
      </c>
      <c r="E23" s="464">
        <f t="shared" ca="1" si="0"/>
        <v>0</v>
      </c>
      <c r="F23" s="464">
        <f ca="1">SUM(F24:F29)</f>
        <v>0</v>
      </c>
      <c r="G23" s="464">
        <f ca="1">SUM(G24:G29)</f>
        <v>0</v>
      </c>
      <c r="H23" s="464">
        <f ca="1">SUM(H24:H29)</f>
        <v>0</v>
      </c>
      <c r="I23" s="395" t="s">
        <v>24</v>
      </c>
      <c r="J23" s="155"/>
    </row>
    <row r="24" spans="1:22" ht="18" outlineLevel="1" x14ac:dyDescent="0.25">
      <c r="A24" s="77"/>
      <c r="B24" s="136" t="s">
        <v>25</v>
      </c>
      <c r="C24" s="470" cm="1">
        <f t="array" aca="1" ref="C24" ca="1">IF((ISERROR(INDIRECT($B24&amp;"!C2")))=TRUE,"tab deleted", 0)</f>
        <v>0</v>
      </c>
      <c r="D24" s="465">
        <f ca="1">IF($C24="tab deleted",0,SUMIF(INDIRECT($B24&amp;"!$B:$B"),$B$23, INDIRECT($B24&amp;"!F:F")))</f>
        <v>0</v>
      </c>
      <c r="E24" s="465">
        <f ca="1">IF($C24="tab deleted",0,SUMIF(INDIRECT($B24&amp;"!$B:$B"),$B$23, INDIRECT($B24&amp;"!G:G")))</f>
        <v>0</v>
      </c>
      <c r="F24" s="465">
        <f ca="1">IF($C24="tab deleted",0,SUMIF(INDIRECT($B24&amp;"!$B:$B"),$B$23, INDIRECT($B24&amp;"!H:H")))</f>
        <v>0</v>
      </c>
      <c r="G24" s="465">
        <f ca="1">IF($C24="tab deleted",0,SUMIF(INDIRECT($B24&amp;"!$B:$B"),$B$23, INDIRECT($B24&amp;"!I:I")))</f>
        <v>0</v>
      </c>
      <c r="H24" s="465">
        <f ca="1">IF($C24="tab deleted",0,SUMIF(INDIRECT($B24&amp;"!$B:$B"),$B$23, INDIRECT($B24&amp;"!J:J")))</f>
        <v>0</v>
      </c>
      <c r="I24" s="550" t="s">
        <v>26</v>
      </c>
      <c r="J24" s="77"/>
      <c r="K24" s="175"/>
    </row>
    <row r="25" spans="1:22" outlineLevel="1" x14ac:dyDescent="0.2">
      <c r="B25" s="136" t="s">
        <v>27</v>
      </c>
      <c r="C25" s="470" cm="1">
        <f t="array" aca="1" ref="C25" ca="1">IF((ISERROR(INDIRECT($B25&amp;"!C2")))=TRUE,"tab deleted", 0)</f>
        <v>0</v>
      </c>
      <c r="D25" s="465">
        <f t="shared" ref="D25:D29" ca="1" si="1">IF($C25="tab deleted",0,SUMIF(INDIRECT($B25&amp;"!$B:$B"),$B$23, INDIRECT($B25&amp;"!F:F")))</f>
        <v>0</v>
      </c>
      <c r="E25" s="465">
        <f t="shared" ref="E25:E29" ca="1" si="2">IF($C25="tab deleted",0,SUMIF(INDIRECT($B25&amp;"!$B:$B"),$B$23, INDIRECT($B25&amp;"!G:G")))</f>
        <v>0</v>
      </c>
      <c r="F25" s="465">
        <f t="shared" ref="F25:F29" ca="1" si="3">IF($C25="tab deleted",0,SUMIF(INDIRECT($B25&amp;"!$B:$B"),$B$23, INDIRECT($B25&amp;"!H:H")))</f>
        <v>0</v>
      </c>
      <c r="G25" s="465">
        <f t="shared" ref="G25:G29" ca="1" si="4">IF($C25="tab deleted",0,SUMIF(INDIRECT($B25&amp;"!$B:$B"),$B$23, INDIRECT($B25&amp;"!I:I")))</f>
        <v>0</v>
      </c>
      <c r="H25" s="465">
        <f t="shared" ref="H25:H29" ca="1" si="5">IF($C25="tab deleted",0,SUMIF(INDIRECT($B25&amp;"!$B:$B"),$B$23, INDIRECT($B25&amp;"!J:J")))</f>
        <v>0</v>
      </c>
      <c r="I25" s="550"/>
    </row>
    <row r="26" spans="1:22" outlineLevel="1" x14ac:dyDescent="0.2">
      <c r="B26" s="136" t="s">
        <v>28</v>
      </c>
      <c r="C26" s="470" cm="1">
        <f t="array" aca="1" ref="C26" ca="1">IF((ISERROR(INDIRECT($B26&amp;"!C2")))=TRUE,"tab deleted", 0)</f>
        <v>0</v>
      </c>
      <c r="D26" s="465">
        <f t="shared" ca="1" si="1"/>
        <v>0</v>
      </c>
      <c r="E26" s="465">
        <f t="shared" ca="1" si="2"/>
        <v>0</v>
      </c>
      <c r="F26" s="465">
        <f t="shared" ca="1" si="3"/>
        <v>0</v>
      </c>
      <c r="G26" s="465">
        <f t="shared" ca="1" si="4"/>
        <v>0</v>
      </c>
      <c r="H26" s="465">
        <f t="shared" ca="1" si="5"/>
        <v>0</v>
      </c>
      <c r="I26" s="550"/>
    </row>
    <row r="27" spans="1:22" outlineLevel="1" x14ac:dyDescent="0.2">
      <c r="B27" s="136" t="s">
        <v>29</v>
      </c>
      <c r="C27" s="470" cm="1">
        <f t="array" aca="1" ref="C27" ca="1">IF((ISERROR(INDIRECT($B27&amp;"!C2")))=TRUE,"tab deleted", 0)</f>
        <v>0</v>
      </c>
      <c r="D27" s="465">
        <f t="shared" ca="1" si="1"/>
        <v>0</v>
      </c>
      <c r="E27" s="465">
        <f t="shared" ca="1" si="2"/>
        <v>0</v>
      </c>
      <c r="F27" s="465">
        <f t="shared" ca="1" si="3"/>
        <v>0</v>
      </c>
      <c r="G27" s="465">
        <f t="shared" ca="1" si="4"/>
        <v>0</v>
      </c>
      <c r="H27" s="465">
        <f t="shared" ca="1" si="5"/>
        <v>0</v>
      </c>
      <c r="I27" s="550"/>
    </row>
    <row r="28" spans="1:22" outlineLevel="1" x14ac:dyDescent="0.2">
      <c r="B28" s="136" t="s">
        <v>30</v>
      </c>
      <c r="C28" s="470" cm="1">
        <f t="array" aca="1" ref="C28" ca="1">IF((ISERROR(INDIRECT($B28&amp;"!C2")))=TRUE,"tab deleted", 0)</f>
        <v>0</v>
      </c>
      <c r="D28" s="465">
        <f t="shared" ca="1" si="1"/>
        <v>0</v>
      </c>
      <c r="E28" s="465">
        <f t="shared" ca="1" si="2"/>
        <v>0</v>
      </c>
      <c r="F28" s="465">
        <f t="shared" ca="1" si="3"/>
        <v>0</v>
      </c>
      <c r="G28" s="465">
        <f t="shared" ca="1" si="4"/>
        <v>0</v>
      </c>
      <c r="H28" s="465">
        <f t="shared" ca="1" si="5"/>
        <v>0</v>
      </c>
      <c r="I28" s="550"/>
    </row>
    <row r="29" spans="1:22" outlineLevel="1" x14ac:dyDescent="0.2">
      <c r="B29" s="136" t="s">
        <v>31</v>
      </c>
      <c r="C29" s="470" cm="1">
        <f t="array" aca="1" ref="C29" ca="1">IF((ISERROR(INDIRECT($B29&amp;"!C2")))=TRUE,"tab deleted", 0)</f>
        <v>0</v>
      </c>
      <c r="D29" s="465">
        <f t="shared" ca="1" si="1"/>
        <v>0</v>
      </c>
      <c r="E29" s="465">
        <f t="shared" ca="1" si="2"/>
        <v>0</v>
      </c>
      <c r="F29" s="465">
        <f t="shared" ca="1" si="3"/>
        <v>0</v>
      </c>
      <c r="G29" s="465">
        <f t="shared" ca="1" si="4"/>
        <v>0</v>
      </c>
      <c r="H29" s="465">
        <f t="shared" ca="1" si="5"/>
        <v>0</v>
      </c>
      <c r="I29" s="550"/>
    </row>
    <row r="30" spans="1:22" ht="28.5" x14ac:dyDescent="0.2">
      <c r="B30" s="537" t="s">
        <v>32</v>
      </c>
      <c r="C30" s="538"/>
      <c r="D30" s="464">
        <f t="shared" ref="D30:E30" ca="1" si="6">SUM(D31:D36)</f>
        <v>0</v>
      </c>
      <c r="E30" s="464">
        <f t="shared" ca="1" si="6"/>
        <v>0</v>
      </c>
      <c r="F30" s="464">
        <f ca="1">SUM(F31:F36)</f>
        <v>0</v>
      </c>
      <c r="G30" s="464">
        <f ca="1">SUM(G31:G36)</f>
        <v>0</v>
      </c>
      <c r="H30" s="464">
        <f ca="1">SUM(H31:H36)</f>
        <v>0</v>
      </c>
      <c r="I30" s="395" t="s">
        <v>33</v>
      </c>
    </row>
    <row r="31" spans="1:22" outlineLevel="1" x14ac:dyDescent="0.2">
      <c r="B31" s="136" t="s">
        <v>25</v>
      </c>
      <c r="C31" s="470" cm="1">
        <f t="array" aca="1" ref="C31" ca="1">IF((ISERROR(INDIRECT($B31&amp;"!C2")))=TRUE,"tab deleted", 0)</f>
        <v>0</v>
      </c>
      <c r="D31" s="465">
        <f ca="1">IF($C31="tab deleted",0,SUMIF(INDIRECT($B31&amp;"!$B:$B"),$B$30,INDIRECT($B31&amp;"!F:F")))</f>
        <v>0</v>
      </c>
      <c r="E31" s="465">
        <f ca="1">IF($C31="tab deleted",0,SUMIF(INDIRECT($B31&amp;"!$B:$B"),$B$30,INDIRECT($B31&amp;"!G:G")))</f>
        <v>0</v>
      </c>
      <c r="F31" s="465">
        <f ca="1">IF($C31="tab deleted",0,SUMIF(INDIRECT($B31&amp;"!$B:$B"),$B$30,INDIRECT($B31&amp;"!H:H")))</f>
        <v>0</v>
      </c>
      <c r="G31" s="465">
        <f ca="1">IF($C31="tab deleted",0,SUMIF(INDIRECT($B31&amp;"!$B:$B"),$B$30,INDIRECT($B31&amp;"!I:I")))</f>
        <v>0</v>
      </c>
      <c r="H31" s="465">
        <f ca="1">IF($C31="tab deleted",0,SUMIF(INDIRECT($B31&amp;"!$B:$B"),$B$30,INDIRECT($B31&amp;"!J:J")))</f>
        <v>0</v>
      </c>
      <c r="I31" s="550" t="s">
        <v>34</v>
      </c>
    </row>
    <row r="32" spans="1:22" outlineLevel="1" x14ac:dyDescent="0.2">
      <c r="B32" s="136" t="s">
        <v>27</v>
      </c>
      <c r="C32" s="470" cm="1">
        <f t="array" aca="1" ref="C32" ca="1">IF((ISERROR(INDIRECT($B32&amp;"!C2")))=TRUE,"tab deleted", 0)</f>
        <v>0</v>
      </c>
      <c r="D32" s="465">
        <f t="shared" ref="D32:D36" ca="1" si="7">IF($C32="tab deleted",0,SUMIF(INDIRECT($B32&amp;"!$B:$B"),$B$30,INDIRECT($B32&amp;"!F:F")))</f>
        <v>0</v>
      </c>
      <c r="E32" s="465">
        <f t="shared" ref="E32:E36" ca="1" si="8">IF($C32="tab deleted",0,SUMIF(INDIRECT($B32&amp;"!$B:$B"),$B$30,INDIRECT($B32&amp;"!G:G")))</f>
        <v>0</v>
      </c>
      <c r="F32" s="465">
        <f t="shared" ref="F32:F36" ca="1" si="9">IF($C32="tab deleted",0,SUMIF(INDIRECT($B32&amp;"!$B:$B"),$B$30,INDIRECT($B32&amp;"!H:H")))</f>
        <v>0</v>
      </c>
      <c r="G32" s="465">
        <f t="shared" ref="G32:G36" ca="1" si="10">IF($C32="tab deleted",0,SUMIF(INDIRECT($B32&amp;"!$B:$B"),$B$30,INDIRECT($B32&amp;"!I:I")))</f>
        <v>0</v>
      </c>
      <c r="H32" s="465">
        <f t="shared" ref="H32:H36" ca="1" si="11">IF($C32="tab deleted",0,SUMIF(INDIRECT($B32&amp;"!$B:$B"),$B$30,INDIRECT($B32&amp;"!J:J")))</f>
        <v>0</v>
      </c>
      <c r="I32" s="550"/>
    </row>
    <row r="33" spans="2:9" outlineLevel="1" x14ac:dyDescent="0.2">
      <c r="B33" s="136" t="s">
        <v>28</v>
      </c>
      <c r="C33" s="470" cm="1">
        <f t="array" aca="1" ref="C33" ca="1">IF((ISERROR(INDIRECT($B33&amp;"!C2")))=TRUE,"tab deleted", 0)</f>
        <v>0</v>
      </c>
      <c r="D33" s="465">
        <f t="shared" ca="1" si="7"/>
        <v>0</v>
      </c>
      <c r="E33" s="465">
        <f t="shared" ca="1" si="8"/>
        <v>0</v>
      </c>
      <c r="F33" s="465">
        <f t="shared" ca="1" si="9"/>
        <v>0</v>
      </c>
      <c r="G33" s="465">
        <f t="shared" ca="1" si="10"/>
        <v>0</v>
      </c>
      <c r="H33" s="465">
        <f t="shared" ca="1" si="11"/>
        <v>0</v>
      </c>
      <c r="I33" s="550"/>
    </row>
    <row r="34" spans="2:9" outlineLevel="1" x14ac:dyDescent="0.2">
      <c r="B34" s="136" t="s">
        <v>29</v>
      </c>
      <c r="C34" s="470" cm="1">
        <f t="array" aca="1" ref="C34" ca="1">IF((ISERROR(INDIRECT($B34&amp;"!C2")))=TRUE,"tab deleted", 0)</f>
        <v>0</v>
      </c>
      <c r="D34" s="465">
        <f t="shared" ca="1" si="7"/>
        <v>0</v>
      </c>
      <c r="E34" s="465">
        <f t="shared" ca="1" si="8"/>
        <v>0</v>
      </c>
      <c r="F34" s="465">
        <f t="shared" ca="1" si="9"/>
        <v>0</v>
      </c>
      <c r="G34" s="465">
        <f t="shared" ca="1" si="10"/>
        <v>0</v>
      </c>
      <c r="H34" s="465">
        <f t="shared" ca="1" si="11"/>
        <v>0</v>
      </c>
      <c r="I34" s="550"/>
    </row>
    <row r="35" spans="2:9" outlineLevel="1" x14ac:dyDescent="0.2">
      <c r="B35" s="136" t="s">
        <v>30</v>
      </c>
      <c r="C35" s="470" cm="1">
        <f t="array" aca="1" ref="C35" ca="1">IF((ISERROR(INDIRECT($B35&amp;"!C2")))=TRUE,"tab deleted", 0)</f>
        <v>0</v>
      </c>
      <c r="D35" s="465">
        <f t="shared" ca="1" si="7"/>
        <v>0</v>
      </c>
      <c r="E35" s="465">
        <f t="shared" ca="1" si="8"/>
        <v>0</v>
      </c>
      <c r="F35" s="465">
        <f t="shared" ca="1" si="9"/>
        <v>0</v>
      </c>
      <c r="G35" s="465">
        <f t="shared" ca="1" si="10"/>
        <v>0</v>
      </c>
      <c r="H35" s="465">
        <f t="shared" ca="1" si="11"/>
        <v>0</v>
      </c>
      <c r="I35" s="550"/>
    </row>
    <row r="36" spans="2:9" outlineLevel="1" x14ac:dyDescent="0.2">
      <c r="B36" s="137" t="s">
        <v>31</v>
      </c>
      <c r="C36" s="470" cm="1">
        <f t="array" aca="1" ref="C36" ca="1">IF((ISERROR(INDIRECT($B36&amp;"!C2")))=TRUE,"tab deleted", 0)</f>
        <v>0</v>
      </c>
      <c r="D36" s="465">
        <f t="shared" ca="1" si="7"/>
        <v>0</v>
      </c>
      <c r="E36" s="465">
        <f t="shared" ca="1" si="8"/>
        <v>0</v>
      </c>
      <c r="F36" s="465">
        <f t="shared" ca="1" si="9"/>
        <v>0</v>
      </c>
      <c r="G36" s="465">
        <f t="shared" ca="1" si="10"/>
        <v>0</v>
      </c>
      <c r="H36" s="465">
        <f t="shared" ca="1" si="11"/>
        <v>0</v>
      </c>
      <c r="I36" s="550"/>
    </row>
    <row r="37" spans="2:9" ht="28.5" x14ac:dyDescent="0.2">
      <c r="B37" s="537" t="s">
        <v>35</v>
      </c>
      <c r="C37" s="538"/>
      <c r="D37" s="464">
        <f ca="1">SUM(D38:D43)</f>
        <v>0</v>
      </c>
      <c r="E37" s="464">
        <f ca="1">SUM(E38:E43)</f>
        <v>0</v>
      </c>
      <c r="F37" s="464">
        <f ca="1">SUM(F38:F43)</f>
        <v>0</v>
      </c>
      <c r="G37" s="464">
        <f ca="1">SUM(G38:G43)</f>
        <v>0</v>
      </c>
      <c r="H37" s="464">
        <f ca="1">SUM(H38:H43)</f>
        <v>0</v>
      </c>
      <c r="I37" s="395" t="s">
        <v>36</v>
      </c>
    </row>
    <row r="38" spans="2:9" outlineLevel="1" x14ac:dyDescent="0.2">
      <c r="B38" s="136" t="s">
        <v>25</v>
      </c>
      <c r="C38" s="470" cm="1">
        <f t="array" aca="1" ref="C38" ca="1">IF((ISERROR(INDIRECT($B38&amp;"!C2")))=TRUE,"tab deleted", 0)</f>
        <v>0</v>
      </c>
      <c r="D38" s="465">
        <f ca="1">IF($C38="tab deleted",0,SUMIF(INDIRECT($B38&amp;"!B:B"),$B$37,INDIRECT($B38&amp;"!F:F")))</f>
        <v>0</v>
      </c>
      <c r="E38" s="465">
        <f ca="1">IF($C38="tab deleted",0,SUMIF(INDIRECT($B38&amp;"!B:B"),$B$37,INDIRECT($B38&amp;"!G:G")))</f>
        <v>0</v>
      </c>
      <c r="F38" s="465">
        <f ca="1">IF($C38="tab deleted",0,SUMIF(INDIRECT($B38&amp;"!B:B"),$B$37,INDIRECT($B38&amp;"!H:H")))</f>
        <v>0</v>
      </c>
      <c r="G38" s="465">
        <f ca="1">IF($C38="tab deleted",0,SUMIF(INDIRECT($B38&amp;"!B:B"),$B$37,INDIRECT($B38&amp;"!I:I")))</f>
        <v>0</v>
      </c>
      <c r="H38" s="465">
        <f ca="1">IF($C38="tab deleted",0,SUMIF(INDIRECT($B38&amp;"!B:B"),$B$37,INDIRECT($B38&amp;"!J:J")))</f>
        <v>0</v>
      </c>
      <c r="I38" s="550" t="s">
        <v>37</v>
      </c>
    </row>
    <row r="39" spans="2:9" outlineLevel="1" x14ac:dyDescent="0.2">
      <c r="B39" s="136" t="s">
        <v>27</v>
      </c>
      <c r="C39" s="470" cm="1">
        <f t="array" aca="1" ref="C39" ca="1">IF((ISERROR(INDIRECT($B39&amp;"!C2")))=TRUE,"tab deleted", 0)</f>
        <v>0</v>
      </c>
      <c r="D39" s="465">
        <f t="shared" ref="D39:D43" ca="1" si="12">IF($C39="tab deleted",0,SUMIF(INDIRECT($B39&amp;"!B:B"),$B$37,INDIRECT($B39&amp;"!F:F")))</f>
        <v>0</v>
      </c>
      <c r="E39" s="465">
        <f t="shared" ref="E39:E43" ca="1" si="13">IF($C39="tab deleted",0,SUMIF(INDIRECT($B39&amp;"!B:B"),$B$37,INDIRECT($B39&amp;"!G:G")))</f>
        <v>0</v>
      </c>
      <c r="F39" s="465">
        <f t="shared" ref="F39:F43" ca="1" si="14">IF($C39="tab deleted",0,SUMIF(INDIRECT($B39&amp;"!B:B"),$B$37,INDIRECT($B39&amp;"!H:H")))</f>
        <v>0</v>
      </c>
      <c r="G39" s="465">
        <f t="shared" ref="G39:G43" ca="1" si="15">IF($C39="tab deleted",0,SUMIF(INDIRECT($B39&amp;"!B:B"),$B$37,INDIRECT($B39&amp;"!I:I")))</f>
        <v>0</v>
      </c>
      <c r="H39" s="465">
        <f t="shared" ref="H39:H43" ca="1" si="16">IF($C39="tab deleted",0,SUMIF(INDIRECT($B39&amp;"!B:B"),$B$37,INDIRECT($B39&amp;"!J:J")))</f>
        <v>0</v>
      </c>
      <c r="I39" s="550"/>
    </row>
    <row r="40" spans="2:9" outlineLevel="1" x14ac:dyDescent="0.2">
      <c r="B40" s="136" t="s">
        <v>28</v>
      </c>
      <c r="C40" s="470" cm="1">
        <f t="array" aca="1" ref="C40" ca="1">IF((ISERROR(INDIRECT($B40&amp;"!C2")))=TRUE,"tab deleted", 0)</f>
        <v>0</v>
      </c>
      <c r="D40" s="465">
        <f t="shared" ca="1" si="12"/>
        <v>0</v>
      </c>
      <c r="E40" s="465">
        <f t="shared" ca="1" si="13"/>
        <v>0</v>
      </c>
      <c r="F40" s="465">
        <f t="shared" ca="1" si="14"/>
        <v>0</v>
      </c>
      <c r="G40" s="465">
        <f t="shared" ca="1" si="15"/>
        <v>0</v>
      </c>
      <c r="H40" s="465">
        <f t="shared" ca="1" si="16"/>
        <v>0</v>
      </c>
      <c r="I40" s="550"/>
    </row>
    <row r="41" spans="2:9" outlineLevel="1" x14ac:dyDescent="0.2">
      <c r="B41" s="136" t="s">
        <v>29</v>
      </c>
      <c r="C41" s="470" cm="1">
        <f t="array" aca="1" ref="C41" ca="1">IF((ISERROR(INDIRECT($B41&amp;"!C2")))=TRUE,"tab deleted", 0)</f>
        <v>0</v>
      </c>
      <c r="D41" s="465">
        <f t="shared" ca="1" si="12"/>
        <v>0</v>
      </c>
      <c r="E41" s="465">
        <f t="shared" ca="1" si="13"/>
        <v>0</v>
      </c>
      <c r="F41" s="465">
        <f t="shared" ca="1" si="14"/>
        <v>0</v>
      </c>
      <c r="G41" s="465">
        <f t="shared" ca="1" si="15"/>
        <v>0</v>
      </c>
      <c r="H41" s="465">
        <f t="shared" ca="1" si="16"/>
        <v>0</v>
      </c>
      <c r="I41" s="550"/>
    </row>
    <row r="42" spans="2:9" outlineLevel="1" x14ac:dyDescent="0.2">
      <c r="B42" s="136" t="s">
        <v>30</v>
      </c>
      <c r="C42" s="470" cm="1">
        <f t="array" aca="1" ref="C42" ca="1">IF((ISERROR(INDIRECT($B42&amp;"!C2")))=TRUE,"tab deleted", 0)</f>
        <v>0</v>
      </c>
      <c r="D42" s="465">
        <f t="shared" ca="1" si="12"/>
        <v>0</v>
      </c>
      <c r="E42" s="465">
        <f t="shared" ca="1" si="13"/>
        <v>0</v>
      </c>
      <c r="F42" s="465">
        <f t="shared" ca="1" si="14"/>
        <v>0</v>
      </c>
      <c r="G42" s="465">
        <f t="shared" ca="1" si="15"/>
        <v>0</v>
      </c>
      <c r="H42" s="465">
        <f t="shared" ca="1" si="16"/>
        <v>0</v>
      </c>
      <c r="I42" s="550"/>
    </row>
    <row r="43" spans="2:9" outlineLevel="1" x14ac:dyDescent="0.2">
      <c r="B43" s="136" t="s">
        <v>31</v>
      </c>
      <c r="C43" s="470" cm="1">
        <f t="array" aca="1" ref="C43" ca="1">IF((ISERROR(INDIRECT($B43&amp;"!C2")))=TRUE,"tab deleted", 0)</f>
        <v>0</v>
      </c>
      <c r="D43" s="465">
        <f t="shared" ca="1" si="12"/>
        <v>0</v>
      </c>
      <c r="E43" s="465">
        <f t="shared" ca="1" si="13"/>
        <v>0</v>
      </c>
      <c r="F43" s="465">
        <f t="shared" ca="1" si="14"/>
        <v>0</v>
      </c>
      <c r="G43" s="465">
        <f t="shared" ca="1" si="15"/>
        <v>0</v>
      </c>
      <c r="H43" s="465">
        <f t="shared" ca="1" si="16"/>
        <v>0</v>
      </c>
      <c r="I43" s="550"/>
    </row>
    <row r="44" spans="2:9" ht="28.5" x14ac:dyDescent="0.2">
      <c r="B44" s="541" t="s">
        <v>38</v>
      </c>
      <c r="C44" s="542"/>
      <c r="D44" s="484">
        <f t="shared" ref="D44:E44" ca="1" si="17">SUM(D23,D30,D37)</f>
        <v>0</v>
      </c>
      <c r="E44" s="484">
        <f t="shared" ca="1" si="17"/>
        <v>0</v>
      </c>
      <c r="F44" s="484">
        <f ca="1">SUM(F23,F30,F37)</f>
        <v>0</v>
      </c>
      <c r="G44" s="484">
        <f ca="1">SUM(G23,G30,G37)</f>
        <v>0</v>
      </c>
      <c r="H44" s="484">
        <f ca="1">SUM(H23,H30,H37)</f>
        <v>0</v>
      </c>
      <c r="I44" s="395" t="s">
        <v>39</v>
      </c>
    </row>
    <row r="45" spans="2:9" x14ac:dyDescent="0.2">
      <c r="B45" s="452"/>
      <c r="C45" s="452"/>
      <c r="D45" s="95"/>
      <c r="E45" s="95"/>
      <c r="F45" s="95"/>
      <c r="G45" s="95"/>
      <c r="H45" s="95"/>
      <c r="I45" s="453"/>
    </row>
    <row r="46" spans="2:9" s="389" customFormat="1" ht="15" x14ac:dyDescent="0.25">
      <c r="B46" s="392" t="s">
        <v>237</v>
      </c>
      <c r="C46" s="393"/>
      <c r="D46" s="393"/>
      <c r="E46" s="393"/>
      <c r="F46" s="393"/>
      <c r="G46" s="393"/>
      <c r="H46" s="393"/>
      <c r="I46" s="393"/>
    </row>
    <row r="47" spans="2:9" x14ac:dyDescent="0.2">
      <c r="B47" s="571" t="s">
        <v>16</v>
      </c>
      <c r="C47" s="572"/>
      <c r="D47" s="573" t="s">
        <v>17</v>
      </c>
      <c r="E47" s="566" t="s">
        <v>18</v>
      </c>
      <c r="F47" s="566" t="s">
        <v>19</v>
      </c>
      <c r="G47" s="566" t="s">
        <v>20</v>
      </c>
      <c r="H47" s="566" t="s">
        <v>21</v>
      </c>
      <c r="I47" s="549"/>
    </row>
    <row r="48" spans="2:9" ht="23.45" customHeight="1" x14ac:dyDescent="0.2">
      <c r="B48" s="564"/>
      <c r="C48" s="565"/>
      <c r="D48" s="561"/>
      <c r="E48" s="558"/>
      <c r="F48" s="558"/>
      <c r="G48" s="558"/>
      <c r="H48" s="558"/>
      <c r="I48" s="549"/>
    </row>
    <row r="49" spans="2:9" ht="19.5" x14ac:dyDescent="0.2">
      <c r="B49" s="115" t="s">
        <v>22</v>
      </c>
      <c r="C49" s="117"/>
      <c r="D49" s="34"/>
      <c r="E49" s="34"/>
      <c r="F49" s="34"/>
      <c r="G49" s="34"/>
      <c r="H49" s="463"/>
      <c r="I49" s="47" t="s">
        <v>2</v>
      </c>
    </row>
    <row r="50" spans="2:9" ht="28.5" x14ac:dyDescent="0.2">
      <c r="B50" s="574" t="s">
        <v>288</v>
      </c>
      <c r="C50" s="577"/>
      <c r="D50" s="466">
        <f t="shared" ref="D50:E50" ca="1" si="18">SUM(D51:D56)</f>
        <v>0</v>
      </c>
      <c r="E50" s="467">
        <f t="shared" ca="1" si="18"/>
        <v>0</v>
      </c>
      <c r="F50" s="467">
        <f ca="1">SUM(F51:F56)</f>
        <v>0</v>
      </c>
      <c r="G50" s="467">
        <f ca="1">SUM(G51:G56)</f>
        <v>0</v>
      </c>
      <c r="H50" s="467">
        <f ca="1">SUM(H51:H56)</f>
        <v>0</v>
      </c>
      <c r="I50" s="386" t="s">
        <v>238</v>
      </c>
    </row>
    <row r="51" spans="2:9" x14ac:dyDescent="0.2">
      <c r="B51" s="136" t="s">
        <v>25</v>
      </c>
      <c r="C51" s="471" cm="1">
        <f t="array" aca="1" ref="C51" ca="1">IF((ISERROR(INDIRECT($B51&amp;"!C2")))=TRUE,"tab deleted", 0)</f>
        <v>0</v>
      </c>
      <c r="D51" s="468">
        <f ca="1">IF($C51="tab deleted",0,SUMIF(INDIRECT($B51&amp;"!B:B"),$B$50,INDIRECT($B51&amp;"!F:F")))</f>
        <v>0</v>
      </c>
      <c r="E51" s="468">
        <f ca="1">IF($C51="tab deleted",0,SUMIF(INDIRECT($B51&amp;"!B:B"),$B$50,INDIRECT($B51&amp;"!G:G")))</f>
        <v>0</v>
      </c>
      <c r="F51" s="468">
        <f ca="1">IF($C51="tab deleted",0,SUMIF(INDIRECT($B51&amp;"!B:B"),$B$50,INDIRECT($B51&amp;"!H:H")))</f>
        <v>0</v>
      </c>
      <c r="G51" s="468">
        <f ca="1">IF($C51="tab deleted",0,SUMIF(INDIRECT($B51&amp;"!B:B"),$B$50,INDIRECT($B51&amp;"!I:I")))</f>
        <v>0</v>
      </c>
      <c r="H51" s="468">
        <f ca="1">IF($C51="tab deleted",0,SUMIF(INDIRECT($B51&amp;"!B:B"),$B$50,INDIRECT($B51&amp;"!J:J")))</f>
        <v>0</v>
      </c>
      <c r="I51" s="550" t="s">
        <v>240</v>
      </c>
    </row>
    <row r="52" spans="2:9" x14ac:dyDescent="0.2">
      <c r="B52" s="136" t="s">
        <v>27</v>
      </c>
      <c r="C52" s="471" cm="1">
        <f t="array" aca="1" ref="C52" ca="1">IF((ISERROR(INDIRECT($B52&amp;"!C2")))=TRUE,"tab deleted", 0)</f>
        <v>0</v>
      </c>
      <c r="D52" s="468">
        <f t="shared" ref="D52:D56" ca="1" si="19">IF($C52="tab deleted",0,SUMIF(INDIRECT($B52&amp;"!B:B"),$B$50,INDIRECT($B52&amp;"!F:F")))</f>
        <v>0</v>
      </c>
      <c r="E52" s="468">
        <f t="shared" ref="E52:E56" ca="1" si="20">IF($C52="tab deleted",0,SUMIF(INDIRECT($B52&amp;"!B:B"),$B$50,INDIRECT($B52&amp;"!G:G")))</f>
        <v>0</v>
      </c>
      <c r="F52" s="468">
        <f t="shared" ref="F52:F56" ca="1" si="21">IF($C52="tab deleted",0,SUMIF(INDIRECT($B52&amp;"!B:B"),$B$50,INDIRECT($B52&amp;"!H:H")))</f>
        <v>0</v>
      </c>
      <c r="G52" s="468">
        <f t="shared" ref="G52:G56" ca="1" si="22">IF($C52="tab deleted",0,SUMIF(INDIRECT($B52&amp;"!B:B"),$B$50,INDIRECT($B52&amp;"!I:I")))</f>
        <v>0</v>
      </c>
      <c r="H52" s="468">
        <f t="shared" ref="H52:H56" ca="1" si="23">IF($C52="tab deleted",0,SUMIF(INDIRECT($B52&amp;"!B:B"),$B$50,INDIRECT($B52&amp;"!J:J")))</f>
        <v>0</v>
      </c>
      <c r="I52" s="550"/>
    </row>
    <row r="53" spans="2:9" x14ac:dyDescent="0.2">
      <c r="B53" s="136" t="s">
        <v>28</v>
      </c>
      <c r="C53" s="471" cm="1">
        <f t="array" aca="1" ref="C53" ca="1">IF((ISERROR(INDIRECT($B53&amp;"!C2")))=TRUE,"tab deleted", 0)</f>
        <v>0</v>
      </c>
      <c r="D53" s="468">
        <f t="shared" ca="1" si="19"/>
        <v>0</v>
      </c>
      <c r="E53" s="468">
        <f t="shared" ca="1" si="20"/>
        <v>0</v>
      </c>
      <c r="F53" s="468">
        <f t="shared" ca="1" si="21"/>
        <v>0</v>
      </c>
      <c r="G53" s="468">
        <f t="shared" ca="1" si="22"/>
        <v>0</v>
      </c>
      <c r="H53" s="468">
        <f t="shared" ca="1" si="23"/>
        <v>0</v>
      </c>
      <c r="I53" s="550"/>
    </row>
    <row r="54" spans="2:9" x14ac:dyDescent="0.2">
      <c r="B54" s="136" t="s">
        <v>29</v>
      </c>
      <c r="C54" s="471" cm="1">
        <f t="array" aca="1" ref="C54" ca="1">IF((ISERROR(INDIRECT($B54&amp;"!C2")))=TRUE,"tab deleted", 0)</f>
        <v>0</v>
      </c>
      <c r="D54" s="468">
        <f t="shared" ca="1" si="19"/>
        <v>0</v>
      </c>
      <c r="E54" s="468">
        <f t="shared" ca="1" si="20"/>
        <v>0</v>
      </c>
      <c r="F54" s="468">
        <f t="shared" ca="1" si="21"/>
        <v>0</v>
      </c>
      <c r="G54" s="468">
        <f t="shared" ca="1" si="22"/>
        <v>0</v>
      </c>
      <c r="H54" s="468">
        <f t="shared" ca="1" si="23"/>
        <v>0</v>
      </c>
      <c r="I54" s="550"/>
    </row>
    <row r="55" spans="2:9" x14ac:dyDescent="0.2">
      <c r="B55" s="136" t="s">
        <v>30</v>
      </c>
      <c r="C55" s="471" cm="1">
        <f t="array" aca="1" ref="C55" ca="1">IF((ISERROR(INDIRECT($B55&amp;"!C2")))=TRUE,"tab deleted", 0)</f>
        <v>0</v>
      </c>
      <c r="D55" s="468">
        <f t="shared" ca="1" si="19"/>
        <v>0</v>
      </c>
      <c r="E55" s="468">
        <f t="shared" ca="1" si="20"/>
        <v>0</v>
      </c>
      <c r="F55" s="468">
        <f t="shared" ca="1" si="21"/>
        <v>0</v>
      </c>
      <c r="G55" s="468">
        <f t="shared" ca="1" si="22"/>
        <v>0</v>
      </c>
      <c r="H55" s="468">
        <f t="shared" ca="1" si="23"/>
        <v>0</v>
      </c>
      <c r="I55" s="550"/>
    </row>
    <row r="56" spans="2:9" x14ac:dyDescent="0.2">
      <c r="B56" s="136" t="s">
        <v>31</v>
      </c>
      <c r="C56" s="471" cm="1">
        <f t="array" aca="1" ref="C56" ca="1">IF((ISERROR(INDIRECT($B56&amp;"!C2")))=TRUE,"tab deleted", 0)</f>
        <v>0</v>
      </c>
      <c r="D56" s="468">
        <f t="shared" ca="1" si="19"/>
        <v>0</v>
      </c>
      <c r="E56" s="468">
        <f t="shared" ca="1" si="20"/>
        <v>0</v>
      </c>
      <c r="F56" s="468">
        <f t="shared" ca="1" si="21"/>
        <v>0</v>
      </c>
      <c r="G56" s="468">
        <f t="shared" ca="1" si="22"/>
        <v>0</v>
      </c>
      <c r="H56" s="468">
        <f t="shared" ca="1" si="23"/>
        <v>0</v>
      </c>
      <c r="I56" s="550"/>
    </row>
    <row r="57" spans="2:9" ht="28.5" x14ac:dyDescent="0.2">
      <c r="B57" s="574" t="s">
        <v>287</v>
      </c>
      <c r="C57" s="575"/>
      <c r="D57" s="466">
        <f t="shared" ref="D57:E57" ca="1" si="24">SUM(D58:D63)</f>
        <v>0</v>
      </c>
      <c r="E57" s="467">
        <f t="shared" ca="1" si="24"/>
        <v>0</v>
      </c>
      <c r="F57" s="467">
        <f ca="1">SUM(F58:F63)</f>
        <v>0</v>
      </c>
      <c r="G57" s="467">
        <f ca="1">SUM(G58:G63)</f>
        <v>0</v>
      </c>
      <c r="H57" s="467">
        <f ca="1">SUM(H58:H63)</f>
        <v>0</v>
      </c>
      <c r="I57" s="386" t="s">
        <v>239</v>
      </c>
    </row>
    <row r="58" spans="2:9" ht="18" customHeight="1" x14ac:dyDescent="0.2">
      <c r="B58" s="136" t="s">
        <v>25</v>
      </c>
      <c r="C58" s="471" cm="1">
        <f t="array" aca="1" ref="C58" ca="1">IF((ISERROR(INDIRECT($B58&amp;"!C2")))=TRUE,"tab deleted", 0)</f>
        <v>0</v>
      </c>
      <c r="D58" s="468">
        <f ca="1">IF($C58="tab deleted",0,SUMIF(INDIRECT($B58&amp;"!B:B"),$B$57,INDIRECT($B58&amp;"!F:F")))</f>
        <v>0</v>
      </c>
      <c r="E58" s="468">
        <f ca="1">IF($C58="tab deleted",0,SUMIF(INDIRECT($B58&amp;"!B:B"),$B$57,INDIRECT($B58&amp;"!G:G")))</f>
        <v>0</v>
      </c>
      <c r="F58" s="468">
        <f ca="1">IF($C58="tab deleted",0,SUMIF(INDIRECT($B58&amp;"!B:B"),$B$57,INDIRECT($B58&amp;"!H:H")))</f>
        <v>0</v>
      </c>
      <c r="G58" s="468">
        <f ca="1">IF($C58="tab deleted",0,SUMIF(INDIRECT($B58&amp;"!B:B"),$B$57,INDIRECT($B58&amp;"!I:I")))</f>
        <v>0</v>
      </c>
      <c r="H58" s="468">
        <f ca="1">IF($C58="tab deleted",0,SUMIF(INDIRECT($B58&amp;"!B:B"),$B$57,INDIRECT($B58&amp;"!J:J")))</f>
        <v>0</v>
      </c>
      <c r="I58" s="550" t="s">
        <v>241</v>
      </c>
    </row>
    <row r="59" spans="2:9" x14ac:dyDescent="0.2">
      <c r="B59" s="136" t="s">
        <v>27</v>
      </c>
      <c r="C59" s="471" cm="1">
        <f t="array" aca="1" ref="C59" ca="1">IF((ISERROR(INDIRECT($B59&amp;"!C2")))=TRUE,"tab deleted", 0)</f>
        <v>0</v>
      </c>
      <c r="D59" s="468">
        <f t="shared" ref="D59:D63" ca="1" si="25">IF($C59="tab deleted",0,SUMIF(INDIRECT($B59&amp;"!B:B"),$B$57,INDIRECT($B59&amp;"!F:F")))</f>
        <v>0</v>
      </c>
      <c r="E59" s="468">
        <f t="shared" ref="E59:E63" ca="1" si="26">IF($C59="tab deleted",0,SUMIF(INDIRECT($B59&amp;"!B:B"),$B$57,INDIRECT($B59&amp;"!G:G")))</f>
        <v>0</v>
      </c>
      <c r="F59" s="468">
        <f t="shared" ref="F59:F63" ca="1" si="27">IF($C59="tab deleted",0,SUMIF(INDIRECT($B59&amp;"!B:B"),$B$57,INDIRECT($B59&amp;"!H:H")))</f>
        <v>0</v>
      </c>
      <c r="G59" s="468">
        <f t="shared" ref="G59:G63" ca="1" si="28">IF($C59="tab deleted",0,SUMIF(INDIRECT($B59&amp;"!B:B"),$B$57,INDIRECT($B59&amp;"!I:I")))</f>
        <v>0</v>
      </c>
      <c r="H59" s="468">
        <f t="shared" ref="H59:H63" ca="1" si="29">IF($C59="tab deleted",0,SUMIF(INDIRECT($B59&amp;"!B:B"),$B$57,INDIRECT($B59&amp;"!J:J")))</f>
        <v>0</v>
      </c>
      <c r="I59" s="550"/>
    </row>
    <row r="60" spans="2:9" x14ac:dyDescent="0.2">
      <c r="B60" s="136" t="s">
        <v>28</v>
      </c>
      <c r="C60" s="471" cm="1">
        <f t="array" aca="1" ref="C60" ca="1">IF((ISERROR(INDIRECT($B60&amp;"!C2")))=TRUE,"tab deleted", 0)</f>
        <v>0</v>
      </c>
      <c r="D60" s="468">
        <f t="shared" ca="1" si="25"/>
        <v>0</v>
      </c>
      <c r="E60" s="468">
        <f t="shared" ca="1" si="26"/>
        <v>0</v>
      </c>
      <c r="F60" s="468">
        <f t="shared" ca="1" si="27"/>
        <v>0</v>
      </c>
      <c r="G60" s="468">
        <f t="shared" ca="1" si="28"/>
        <v>0</v>
      </c>
      <c r="H60" s="468">
        <f t="shared" ca="1" si="29"/>
        <v>0</v>
      </c>
      <c r="I60" s="550"/>
    </row>
    <row r="61" spans="2:9" x14ac:dyDescent="0.2">
      <c r="B61" s="136" t="s">
        <v>29</v>
      </c>
      <c r="C61" s="471" cm="1">
        <f t="array" aca="1" ref="C61" ca="1">IF((ISERROR(INDIRECT($B61&amp;"!C2")))=TRUE,"tab deleted", 0)</f>
        <v>0</v>
      </c>
      <c r="D61" s="468">
        <f t="shared" ca="1" si="25"/>
        <v>0</v>
      </c>
      <c r="E61" s="468">
        <f t="shared" ca="1" si="26"/>
        <v>0</v>
      </c>
      <c r="F61" s="468">
        <f t="shared" ca="1" si="27"/>
        <v>0</v>
      </c>
      <c r="G61" s="468">
        <f t="shared" ca="1" si="28"/>
        <v>0</v>
      </c>
      <c r="H61" s="468">
        <f t="shared" ca="1" si="29"/>
        <v>0</v>
      </c>
      <c r="I61" s="550"/>
    </row>
    <row r="62" spans="2:9" x14ac:dyDescent="0.2">
      <c r="B62" s="136" t="s">
        <v>30</v>
      </c>
      <c r="C62" s="471" cm="1">
        <f t="array" aca="1" ref="C62" ca="1">IF((ISERROR(INDIRECT($B62&amp;"!C2")))=TRUE,"tab deleted", 0)</f>
        <v>0</v>
      </c>
      <c r="D62" s="468">
        <f t="shared" ca="1" si="25"/>
        <v>0</v>
      </c>
      <c r="E62" s="468">
        <f t="shared" ca="1" si="26"/>
        <v>0</v>
      </c>
      <c r="F62" s="468">
        <f t="shared" ca="1" si="27"/>
        <v>0</v>
      </c>
      <c r="G62" s="468">
        <f t="shared" ca="1" si="28"/>
        <v>0</v>
      </c>
      <c r="H62" s="468">
        <f t="shared" ca="1" si="29"/>
        <v>0</v>
      </c>
      <c r="I62" s="550"/>
    </row>
    <row r="63" spans="2:9" x14ac:dyDescent="0.2">
      <c r="B63" s="136" t="s">
        <v>31</v>
      </c>
      <c r="C63" s="471" cm="1">
        <f t="array" aca="1" ref="C63" ca="1">IF((ISERROR(INDIRECT($B63&amp;"!C2")))=TRUE,"tab deleted", 0)</f>
        <v>0</v>
      </c>
      <c r="D63" s="468">
        <f t="shared" ca="1" si="25"/>
        <v>0</v>
      </c>
      <c r="E63" s="468">
        <f t="shared" ca="1" si="26"/>
        <v>0</v>
      </c>
      <c r="F63" s="468">
        <f t="shared" ca="1" si="27"/>
        <v>0</v>
      </c>
      <c r="G63" s="468">
        <f t="shared" ca="1" si="28"/>
        <v>0</v>
      </c>
      <c r="H63" s="468">
        <f t="shared" ca="1" si="29"/>
        <v>0</v>
      </c>
      <c r="I63" s="550"/>
    </row>
    <row r="64" spans="2:9" ht="28.5" x14ac:dyDescent="0.2">
      <c r="B64" s="574" t="s">
        <v>286</v>
      </c>
      <c r="C64" s="575"/>
      <c r="D64" s="466">
        <f t="shared" ref="D64:E64" ca="1" si="30">SUM(D65:D70)</f>
        <v>0</v>
      </c>
      <c r="E64" s="467">
        <f t="shared" ca="1" si="30"/>
        <v>0</v>
      </c>
      <c r="F64" s="467">
        <f ca="1">SUM(F65:F70)</f>
        <v>0</v>
      </c>
      <c r="G64" s="467">
        <f ca="1">SUM(G65:G70)</f>
        <v>0</v>
      </c>
      <c r="H64" s="467">
        <f ca="1">SUM(H65:H70)</f>
        <v>0</v>
      </c>
      <c r="I64" s="386" t="s">
        <v>242</v>
      </c>
    </row>
    <row r="65" spans="2:16" ht="18" customHeight="1" x14ac:dyDescent="0.2">
      <c r="B65" s="136" t="s">
        <v>25</v>
      </c>
      <c r="C65" s="471" cm="1">
        <f t="array" aca="1" ref="C65" ca="1">IF((ISERROR(INDIRECT($B65&amp;"!C2")))=TRUE,"tab deleted", 0)</f>
        <v>0</v>
      </c>
      <c r="D65" s="468">
        <f t="shared" ref="D65:D70" ca="1" si="31">IF($C65="tab deleted",0,SUMIF(INDIRECT($B65&amp;"!B:B"),$B$64,INDIRECT($B65&amp;"!F:F")))</f>
        <v>0</v>
      </c>
      <c r="E65" s="468">
        <f t="shared" ref="E65:E70" ca="1" si="32">IF($C65="tab deleted",0,SUMIF(INDIRECT($B65&amp;"!B:B"),$B$64,INDIRECT($B65&amp;"!G:G")))</f>
        <v>0</v>
      </c>
      <c r="F65" s="468">
        <f t="shared" ref="F65:F70" ca="1" si="33">IF($C65="tab deleted",0,SUMIF(INDIRECT($B65&amp;"!B:B"),$B$64,INDIRECT($B65&amp;"!H:H")))</f>
        <v>0</v>
      </c>
      <c r="G65" s="468">
        <f t="shared" ref="G65:G70" ca="1" si="34">IF($C65="tab deleted",0,SUMIF(INDIRECT($B65&amp;"!B:B"),$B$64,INDIRECT($B65&amp;"!I:I")))</f>
        <v>0</v>
      </c>
      <c r="H65" s="468">
        <f t="shared" ref="H65:H70" ca="1" si="35">IF($C65="tab deleted",0,SUMIF(INDIRECT($B65&amp;"!B:B"),$B$64,INDIRECT($B65&amp;"!J:J")))</f>
        <v>0</v>
      </c>
      <c r="I65" s="550" t="s">
        <v>243</v>
      </c>
    </row>
    <row r="66" spans="2:16" x14ac:dyDescent="0.2">
      <c r="B66" s="136" t="s">
        <v>27</v>
      </c>
      <c r="C66" s="471" cm="1">
        <f t="array" aca="1" ref="C66" ca="1">IF((ISERROR(INDIRECT($B66&amp;"!C2")))=TRUE,"tab deleted", 0)</f>
        <v>0</v>
      </c>
      <c r="D66" s="468">
        <f t="shared" ca="1" si="31"/>
        <v>0</v>
      </c>
      <c r="E66" s="468">
        <f t="shared" ca="1" si="32"/>
        <v>0</v>
      </c>
      <c r="F66" s="468">
        <f t="shared" ca="1" si="33"/>
        <v>0</v>
      </c>
      <c r="G66" s="468">
        <f t="shared" ca="1" si="34"/>
        <v>0</v>
      </c>
      <c r="H66" s="468">
        <f t="shared" ca="1" si="35"/>
        <v>0</v>
      </c>
      <c r="I66" s="550"/>
    </row>
    <row r="67" spans="2:16" x14ac:dyDescent="0.2">
      <c r="B67" s="136" t="s">
        <v>28</v>
      </c>
      <c r="C67" s="471" cm="1">
        <f t="array" aca="1" ref="C67" ca="1">IF((ISERROR(INDIRECT($B67&amp;"!C2")))=TRUE,"tab deleted", 0)</f>
        <v>0</v>
      </c>
      <c r="D67" s="468">
        <f t="shared" ca="1" si="31"/>
        <v>0</v>
      </c>
      <c r="E67" s="468">
        <f t="shared" ca="1" si="32"/>
        <v>0</v>
      </c>
      <c r="F67" s="468">
        <f t="shared" ca="1" si="33"/>
        <v>0</v>
      </c>
      <c r="G67" s="468">
        <f t="shared" ca="1" si="34"/>
        <v>0</v>
      </c>
      <c r="H67" s="468">
        <f t="shared" ca="1" si="35"/>
        <v>0</v>
      </c>
      <c r="I67" s="550"/>
    </row>
    <row r="68" spans="2:16" x14ac:dyDescent="0.2">
      <c r="B68" s="136" t="s">
        <v>29</v>
      </c>
      <c r="C68" s="471" cm="1">
        <f t="array" aca="1" ref="C68" ca="1">IF((ISERROR(INDIRECT($B68&amp;"!C2")))=TRUE,"tab deleted", 0)</f>
        <v>0</v>
      </c>
      <c r="D68" s="468">
        <f t="shared" ca="1" si="31"/>
        <v>0</v>
      </c>
      <c r="E68" s="468">
        <f t="shared" ca="1" si="32"/>
        <v>0</v>
      </c>
      <c r="F68" s="468">
        <f t="shared" ca="1" si="33"/>
        <v>0</v>
      </c>
      <c r="G68" s="468">
        <f t="shared" ca="1" si="34"/>
        <v>0</v>
      </c>
      <c r="H68" s="468">
        <f t="shared" ca="1" si="35"/>
        <v>0</v>
      </c>
      <c r="I68" s="550"/>
    </row>
    <row r="69" spans="2:16" x14ac:dyDescent="0.2">
      <c r="B69" s="136" t="s">
        <v>30</v>
      </c>
      <c r="C69" s="471" cm="1">
        <f t="array" aca="1" ref="C69" ca="1">IF((ISERROR(INDIRECT($B69&amp;"!C2")))=TRUE,"tab deleted", 0)</f>
        <v>0</v>
      </c>
      <c r="D69" s="468">
        <f t="shared" ca="1" si="31"/>
        <v>0</v>
      </c>
      <c r="E69" s="468">
        <f t="shared" ca="1" si="32"/>
        <v>0</v>
      </c>
      <c r="F69" s="468">
        <f t="shared" ca="1" si="33"/>
        <v>0</v>
      </c>
      <c r="G69" s="468">
        <f t="shared" ca="1" si="34"/>
        <v>0</v>
      </c>
      <c r="H69" s="468">
        <f t="shared" ca="1" si="35"/>
        <v>0</v>
      </c>
      <c r="I69" s="550"/>
    </row>
    <row r="70" spans="2:16" x14ac:dyDescent="0.2">
      <c r="B70" s="136" t="s">
        <v>31</v>
      </c>
      <c r="C70" s="471" cm="1">
        <f t="array" aca="1" ref="C70" ca="1">IF((ISERROR(INDIRECT($B70&amp;"!C2")))=TRUE,"tab deleted", 0)</f>
        <v>0</v>
      </c>
      <c r="D70" s="468">
        <f t="shared" ca="1" si="31"/>
        <v>0</v>
      </c>
      <c r="E70" s="468">
        <f t="shared" ca="1" si="32"/>
        <v>0</v>
      </c>
      <c r="F70" s="468">
        <f t="shared" ca="1" si="33"/>
        <v>0</v>
      </c>
      <c r="G70" s="468">
        <f t="shared" ca="1" si="34"/>
        <v>0</v>
      </c>
      <c r="H70" s="468">
        <f t="shared" ca="1" si="35"/>
        <v>0</v>
      </c>
      <c r="I70" s="550"/>
    </row>
    <row r="71" spans="2:16" ht="28.5" x14ac:dyDescent="0.2">
      <c r="B71" s="574" t="s">
        <v>285</v>
      </c>
      <c r="C71" s="575"/>
      <c r="D71" s="467">
        <f t="shared" ref="D71:E71" ca="1" si="36">SUM(D72:D77)</f>
        <v>0</v>
      </c>
      <c r="E71" s="467">
        <f t="shared" ca="1" si="36"/>
        <v>0</v>
      </c>
      <c r="F71" s="467">
        <f ca="1">SUM(F72:F77)</f>
        <v>0</v>
      </c>
      <c r="G71" s="467">
        <f ca="1">SUM(G72:G77)</f>
        <v>0</v>
      </c>
      <c r="H71" s="467">
        <f ca="1">SUM(H72:H77)</f>
        <v>0</v>
      </c>
      <c r="I71" s="386" t="s">
        <v>244</v>
      </c>
    </row>
    <row r="72" spans="2:16" ht="18" customHeight="1" x14ac:dyDescent="0.2">
      <c r="B72" s="136" t="s">
        <v>25</v>
      </c>
      <c r="C72" s="471" cm="1">
        <f t="array" aca="1" ref="C72" ca="1">IF((ISERROR(INDIRECT($B72&amp;"!C2")))=TRUE,"tab deleted", 0)</f>
        <v>0</v>
      </c>
      <c r="D72" s="468">
        <f t="shared" ref="D72:D77" ca="1" si="37">IF($C72="tab deleted",0,SUMIF(INDIRECT($B72&amp;"!B:B"),$B$71,INDIRECT($B72&amp;"!F:F")))</f>
        <v>0</v>
      </c>
      <c r="E72" s="468">
        <f t="shared" ref="E72:E77" ca="1" si="38">IF($C72="tab deleted",0,SUMIF(INDIRECT($B72&amp;"!B:B"),$B$71,INDIRECT($B72&amp;"!G:G")))</f>
        <v>0</v>
      </c>
      <c r="F72" s="468">
        <f t="shared" ref="F72:F77" ca="1" si="39">IF($C72="tab deleted",0,SUMIF(INDIRECT($B72&amp;"!B:B"),$B$71,INDIRECT($B72&amp;"!H:H")))</f>
        <v>0</v>
      </c>
      <c r="G72" s="468">
        <f t="shared" ref="G72:G77" ca="1" si="40">IF($C72="tab deleted",0,SUMIF(INDIRECT($B72&amp;"!B:B"),$B$71,INDIRECT($B72&amp;"!I:I")))</f>
        <v>0</v>
      </c>
      <c r="H72" s="468">
        <f t="shared" ref="H72:H77" ca="1" si="41">IF($C72="tab deleted",0,SUMIF(INDIRECT($B72&amp;"!B:B"),$B$71,INDIRECT($B72&amp;"!J:J")))</f>
        <v>0</v>
      </c>
      <c r="I72" s="550" t="s">
        <v>245</v>
      </c>
    </row>
    <row r="73" spans="2:16" x14ac:dyDescent="0.2">
      <c r="B73" s="136" t="s">
        <v>27</v>
      </c>
      <c r="C73" s="471" cm="1">
        <f t="array" aca="1" ref="C73" ca="1">IF((ISERROR(INDIRECT($B73&amp;"!C2")))=TRUE,"tab deleted", 0)</f>
        <v>0</v>
      </c>
      <c r="D73" s="468">
        <f t="shared" ca="1" si="37"/>
        <v>0</v>
      </c>
      <c r="E73" s="468">
        <f t="shared" ca="1" si="38"/>
        <v>0</v>
      </c>
      <c r="F73" s="468">
        <f t="shared" ca="1" si="39"/>
        <v>0</v>
      </c>
      <c r="G73" s="468">
        <f t="shared" ca="1" si="40"/>
        <v>0</v>
      </c>
      <c r="H73" s="468">
        <f t="shared" ca="1" si="41"/>
        <v>0</v>
      </c>
      <c r="I73" s="550"/>
    </row>
    <row r="74" spans="2:16" x14ac:dyDescent="0.2">
      <c r="B74" s="136" t="s">
        <v>28</v>
      </c>
      <c r="C74" s="471" cm="1">
        <f t="array" aca="1" ref="C74" ca="1">IF((ISERROR(INDIRECT($B74&amp;"!C2")))=TRUE,"tab deleted", 0)</f>
        <v>0</v>
      </c>
      <c r="D74" s="468">
        <f t="shared" ca="1" si="37"/>
        <v>0</v>
      </c>
      <c r="E74" s="468">
        <f t="shared" ca="1" si="38"/>
        <v>0</v>
      </c>
      <c r="F74" s="468">
        <f t="shared" ca="1" si="39"/>
        <v>0</v>
      </c>
      <c r="G74" s="468">
        <f t="shared" ca="1" si="40"/>
        <v>0</v>
      </c>
      <c r="H74" s="468">
        <f t="shared" ca="1" si="41"/>
        <v>0</v>
      </c>
      <c r="I74" s="550"/>
    </row>
    <row r="75" spans="2:16" x14ac:dyDescent="0.2">
      <c r="B75" s="136" t="s">
        <v>29</v>
      </c>
      <c r="C75" s="471" cm="1">
        <f t="array" aca="1" ref="C75" ca="1">IF((ISERROR(INDIRECT($B75&amp;"!C2")))=TRUE,"tab deleted", 0)</f>
        <v>0</v>
      </c>
      <c r="D75" s="468">
        <f t="shared" ca="1" si="37"/>
        <v>0</v>
      </c>
      <c r="E75" s="468">
        <f t="shared" ca="1" si="38"/>
        <v>0</v>
      </c>
      <c r="F75" s="468">
        <f t="shared" ca="1" si="39"/>
        <v>0</v>
      </c>
      <c r="G75" s="468">
        <f t="shared" ca="1" si="40"/>
        <v>0</v>
      </c>
      <c r="H75" s="468">
        <f t="shared" ca="1" si="41"/>
        <v>0</v>
      </c>
      <c r="I75" s="550"/>
    </row>
    <row r="76" spans="2:16" x14ac:dyDescent="0.2">
      <c r="B76" s="136" t="s">
        <v>30</v>
      </c>
      <c r="C76" s="471" cm="1">
        <f t="array" aca="1" ref="C76" ca="1">IF((ISERROR(INDIRECT($B76&amp;"!C2")))=TRUE,"tab deleted", 0)</f>
        <v>0</v>
      </c>
      <c r="D76" s="468">
        <f t="shared" ca="1" si="37"/>
        <v>0</v>
      </c>
      <c r="E76" s="468">
        <f t="shared" ca="1" si="38"/>
        <v>0</v>
      </c>
      <c r="F76" s="468">
        <f t="shared" ca="1" si="39"/>
        <v>0</v>
      </c>
      <c r="G76" s="468">
        <f t="shared" ca="1" si="40"/>
        <v>0</v>
      </c>
      <c r="H76" s="468">
        <f t="shared" ca="1" si="41"/>
        <v>0</v>
      </c>
      <c r="I76" s="550"/>
    </row>
    <row r="77" spans="2:16" x14ac:dyDescent="0.2">
      <c r="B77" s="136" t="s">
        <v>31</v>
      </c>
      <c r="C77" s="471" cm="1">
        <f t="array" aca="1" ref="C77" ca="1">IF((ISERROR(INDIRECT($B77&amp;"!C2")))=TRUE,"tab deleted", 0)</f>
        <v>0</v>
      </c>
      <c r="D77" s="468">
        <f t="shared" ca="1" si="37"/>
        <v>0</v>
      </c>
      <c r="E77" s="468">
        <f t="shared" ca="1" si="38"/>
        <v>0</v>
      </c>
      <c r="F77" s="468">
        <f t="shared" ca="1" si="39"/>
        <v>0</v>
      </c>
      <c r="G77" s="468">
        <f t="shared" ca="1" si="40"/>
        <v>0</v>
      </c>
      <c r="H77" s="468">
        <f t="shared" ca="1" si="41"/>
        <v>0</v>
      </c>
      <c r="I77" s="550"/>
    </row>
    <row r="78" spans="2:16" ht="28.5" x14ac:dyDescent="0.2">
      <c r="B78" s="574" t="s">
        <v>284</v>
      </c>
      <c r="C78" s="575"/>
      <c r="D78" s="467">
        <f t="shared" ref="D78:E78" ca="1" si="42">SUM(D79:D84)</f>
        <v>0</v>
      </c>
      <c r="E78" s="467">
        <f t="shared" ca="1" si="42"/>
        <v>0</v>
      </c>
      <c r="F78" s="467">
        <f ca="1">SUM(F79:F84)</f>
        <v>0</v>
      </c>
      <c r="G78" s="467">
        <f ca="1">SUM(G79:G84)</f>
        <v>0</v>
      </c>
      <c r="H78" s="467">
        <f ca="1">SUM(H79:H84)</f>
        <v>0</v>
      </c>
      <c r="I78" s="386" t="s">
        <v>246</v>
      </c>
      <c r="L78" s="38" t="s">
        <v>58</v>
      </c>
      <c r="M78" s="38"/>
      <c r="N78" s="38"/>
      <c r="O78" s="38"/>
      <c r="P78" s="38"/>
    </row>
    <row r="79" spans="2:16" ht="18" customHeight="1" x14ac:dyDescent="0.2">
      <c r="B79" s="136" t="s">
        <v>25</v>
      </c>
      <c r="C79" s="471" cm="1">
        <f t="array" aca="1" ref="C79" ca="1">IF((ISERROR(INDIRECT($B79&amp;"!C2")))=TRUE,"tab deleted", 0)</f>
        <v>0</v>
      </c>
      <c r="D79" s="468">
        <f t="shared" ref="D79:D84" ca="1" si="43">IF($C79="tab deleted",0,SUMIF(INDIRECT($B79&amp;"!B:B"),$B$78,INDIRECT($B79&amp;"!F:F")))</f>
        <v>0</v>
      </c>
      <c r="E79" s="468">
        <f t="shared" ref="E79:E84" ca="1" si="44">IF($C79="tab deleted",0,SUMIF(INDIRECT($B79&amp;"!B:B"),$B$78,INDIRECT($B79&amp;"!G:G")))</f>
        <v>0</v>
      </c>
      <c r="F79" s="468">
        <f t="shared" ref="F79:F84" ca="1" si="45">IF($C79="tab deleted",0,SUMIF(INDIRECT($B79&amp;"!B:B"),$B$78,INDIRECT($B79&amp;"!H:H")))</f>
        <v>0</v>
      </c>
      <c r="G79" s="468">
        <f t="shared" ref="G79:G84" ca="1" si="46">IF($C79="tab deleted",0,SUMIF(INDIRECT($B79&amp;"!B:B"),$B$78,INDIRECT($B79&amp;"!I:I")))</f>
        <v>0</v>
      </c>
      <c r="H79" s="468">
        <f t="shared" ref="H79:H84" ca="1" si="47">IF($C79="tab deleted",0,SUMIF(INDIRECT($B79&amp;"!B:B"),$B$78,INDIRECT($B79&amp;"!J:J")))</f>
        <v>0</v>
      </c>
      <c r="I79" s="550" t="s">
        <v>247</v>
      </c>
      <c r="L79" s="3" t="s">
        <v>318</v>
      </c>
      <c r="M79" s="516" t="str" cm="1">
        <f t="array" aca="1" ref="M79" ca="1">IF((ISERROR(INDIRECT(B79&amp;"!$L$6"))=TRUE), "None", (IF((ISBLANK(INDIRECT(B79&amp;"!$L$6")))=TRUE, "None", (INDIRECT(B79&amp;"!$L$6")))))</f>
        <v>None</v>
      </c>
    </row>
    <row r="80" spans="2:16" x14ac:dyDescent="0.2">
      <c r="B80" s="136" t="s">
        <v>27</v>
      </c>
      <c r="C80" s="471" cm="1">
        <f t="array" aca="1" ref="C80" ca="1">IF((ISERROR(INDIRECT($B80&amp;"!C2")))=TRUE,"tab deleted", 0)</f>
        <v>0</v>
      </c>
      <c r="D80" s="468">
        <f t="shared" ca="1" si="43"/>
        <v>0</v>
      </c>
      <c r="E80" s="468">
        <f t="shared" ca="1" si="44"/>
        <v>0</v>
      </c>
      <c r="F80" s="468">
        <f t="shared" ca="1" si="45"/>
        <v>0</v>
      </c>
      <c r="G80" s="468">
        <f t="shared" ca="1" si="46"/>
        <v>0</v>
      </c>
      <c r="H80" s="468">
        <f t="shared" ca="1" si="47"/>
        <v>0</v>
      </c>
      <c r="I80" s="550"/>
      <c r="M80" s="516" t="str" cm="1">
        <f t="array" aca="1" ref="M80" ca="1">IF((ISERROR(INDIRECT(B80&amp;"!$L$6"))=TRUE), "None", (IF((ISBLANK(INDIRECT(B80&amp;"!$L$6")))=TRUE, "None", (INDIRECT(B80&amp;"!$L$6")))))</f>
        <v>None</v>
      </c>
    </row>
    <row r="81" spans="2:13" x14ac:dyDescent="0.2">
      <c r="B81" s="136" t="s">
        <v>28</v>
      </c>
      <c r="C81" s="471" cm="1">
        <f t="array" aca="1" ref="C81" ca="1">IF((ISERROR(INDIRECT($B81&amp;"!C2")))=TRUE,"tab deleted", 0)</f>
        <v>0</v>
      </c>
      <c r="D81" s="468">
        <f t="shared" ca="1" si="43"/>
        <v>0</v>
      </c>
      <c r="E81" s="468">
        <f t="shared" ca="1" si="44"/>
        <v>0</v>
      </c>
      <c r="F81" s="468">
        <f t="shared" ca="1" si="45"/>
        <v>0</v>
      </c>
      <c r="G81" s="468">
        <f t="shared" ca="1" si="46"/>
        <v>0</v>
      </c>
      <c r="H81" s="468">
        <f t="shared" ca="1" si="47"/>
        <v>0</v>
      </c>
      <c r="I81" s="550"/>
      <c r="M81" s="516" t="str" cm="1">
        <f t="array" aca="1" ref="M81" ca="1">IF((ISERROR(INDIRECT(B81&amp;"!$L$6"))=TRUE), "None", (IF((ISBLANK(INDIRECT(B81&amp;"!$L$6")))=TRUE, "None", (INDIRECT(B81&amp;"!$L$6")))))</f>
        <v>None</v>
      </c>
    </row>
    <row r="82" spans="2:13" x14ac:dyDescent="0.2">
      <c r="B82" s="136" t="s">
        <v>29</v>
      </c>
      <c r="C82" s="471" cm="1">
        <f t="array" aca="1" ref="C82" ca="1">IF((ISERROR(INDIRECT($B82&amp;"!C2")))=TRUE,"tab deleted", 0)</f>
        <v>0</v>
      </c>
      <c r="D82" s="468">
        <f t="shared" ca="1" si="43"/>
        <v>0</v>
      </c>
      <c r="E82" s="468">
        <f t="shared" ca="1" si="44"/>
        <v>0</v>
      </c>
      <c r="F82" s="468">
        <f t="shared" ca="1" si="45"/>
        <v>0</v>
      </c>
      <c r="G82" s="468">
        <f t="shared" ca="1" si="46"/>
        <v>0</v>
      </c>
      <c r="H82" s="468">
        <f t="shared" ca="1" si="47"/>
        <v>0</v>
      </c>
      <c r="I82" s="550"/>
      <c r="M82" s="516" t="str" cm="1">
        <f t="array" aca="1" ref="M82" ca="1">IF((ISERROR(INDIRECT(B82&amp;"!$L$6"))=TRUE), "None", (IF((ISBLANK(INDIRECT(B82&amp;"!$L$6")))=TRUE, "None", (INDIRECT(B82&amp;"!$L$6")))))</f>
        <v>None</v>
      </c>
    </row>
    <row r="83" spans="2:13" x14ac:dyDescent="0.2">
      <c r="B83" s="136" t="s">
        <v>30</v>
      </c>
      <c r="C83" s="471" cm="1">
        <f t="array" aca="1" ref="C83" ca="1">IF((ISERROR(INDIRECT($B83&amp;"!C2")))=TRUE,"tab deleted", 0)</f>
        <v>0</v>
      </c>
      <c r="D83" s="468">
        <f t="shared" ca="1" si="43"/>
        <v>0</v>
      </c>
      <c r="E83" s="468">
        <f t="shared" ca="1" si="44"/>
        <v>0</v>
      </c>
      <c r="F83" s="468">
        <f t="shared" ca="1" si="45"/>
        <v>0</v>
      </c>
      <c r="G83" s="468">
        <f t="shared" ca="1" si="46"/>
        <v>0</v>
      </c>
      <c r="H83" s="468">
        <f t="shared" ca="1" si="47"/>
        <v>0</v>
      </c>
      <c r="I83" s="550"/>
      <c r="M83" s="516" t="str" cm="1">
        <f t="array" aca="1" ref="M83" ca="1">IF((ISERROR(INDIRECT(B83&amp;"!$L$6"))=TRUE), "None", (IF((ISBLANK(INDIRECT(B83&amp;"!$L$6")))=TRUE, "None", (INDIRECT(B83&amp;"!$L$6")))))</f>
        <v>None</v>
      </c>
    </row>
    <row r="84" spans="2:13" x14ac:dyDescent="0.2">
      <c r="B84" s="137" t="s">
        <v>31</v>
      </c>
      <c r="C84" s="471" cm="1">
        <f t="array" aca="1" ref="C84" ca="1">IF((ISERROR(INDIRECT($B84&amp;"!C2")))=TRUE,"tab deleted", 0)</f>
        <v>0</v>
      </c>
      <c r="D84" s="469">
        <f t="shared" ca="1" si="43"/>
        <v>0</v>
      </c>
      <c r="E84" s="469">
        <f t="shared" ca="1" si="44"/>
        <v>0</v>
      </c>
      <c r="F84" s="469">
        <f t="shared" ca="1" si="45"/>
        <v>0</v>
      </c>
      <c r="G84" s="469">
        <f t="shared" ca="1" si="46"/>
        <v>0</v>
      </c>
      <c r="H84" s="469">
        <f t="shared" ca="1" si="47"/>
        <v>0</v>
      </c>
      <c r="I84" s="550"/>
      <c r="M84" s="516" t="str" cm="1">
        <f t="array" aca="1" ref="M84" ca="1">IF((ISERROR(INDIRECT(B84&amp;"!$L$6"))=TRUE), "None", (IF((ISBLANK(INDIRECT(B84&amp;"!$L$6")))=TRUE, "None", (INDIRECT(B84&amp;"!$L$6")))))</f>
        <v>None</v>
      </c>
    </row>
    <row r="85" spans="2:13" ht="18" x14ac:dyDescent="0.2">
      <c r="B85" s="2"/>
      <c r="C85" s="390"/>
      <c r="D85" s="461"/>
      <c r="E85" s="461"/>
      <c r="F85" s="461"/>
      <c r="G85" s="9"/>
      <c r="H85" s="9"/>
      <c r="I85" s="176"/>
    </row>
    <row r="86" spans="2:13" ht="19.5" x14ac:dyDescent="0.2">
      <c r="B86" s="16" t="s">
        <v>316</v>
      </c>
      <c r="C86" s="119"/>
      <c r="D86" s="15"/>
      <c r="E86" s="15"/>
      <c r="F86" s="15"/>
      <c r="G86" s="15"/>
      <c r="H86" s="15"/>
      <c r="I86" s="16" t="s">
        <v>2</v>
      </c>
      <c r="J86" s="391"/>
    </row>
    <row r="87" spans="2:13" ht="18" customHeight="1" x14ac:dyDescent="0.2">
      <c r="B87" s="537" t="s">
        <v>40</v>
      </c>
      <c r="C87" s="538"/>
      <c r="D87" s="543" t="str">
        <f ca="1">IF((COUNTIF(M79:M84, "None"))=6,"Distance not entered in the relevant Title_0X tabs.",MAX(M79:M84))</f>
        <v>Distance not entered in the relevant Title_0X tabs.</v>
      </c>
      <c r="E87" s="544"/>
      <c r="F87" s="544"/>
      <c r="G87" s="544"/>
      <c r="H87" s="545"/>
      <c r="I87" s="139" t="s">
        <v>41</v>
      </c>
    </row>
    <row r="88" spans="2:13" ht="28.5" x14ac:dyDescent="0.2">
      <c r="B88" s="537" t="s">
        <v>42</v>
      </c>
      <c r="C88" s="538"/>
      <c r="D88" s="546" t="str">
        <f ca="1">IF($D$87=0,"Need a distance greater than 0km to the closest regional centre.", IF($D$87="Distance not entered in the relevant Title_0X tabs.","No Category. Enter a distance to the closest regional centre in the relevant Title_0X tabs.", IF($D$87&lt;100,"&lt;100km",IF($D$87&lt;250,"100-249km",IF($D$87&lt;500,"250-499km","&gt;500km")))))</f>
        <v>No Category. Enter a distance to the closest regional centre in the relevant Title_0X tabs.</v>
      </c>
      <c r="E88" s="547"/>
      <c r="F88" s="547"/>
      <c r="G88" s="547"/>
      <c r="H88" s="548"/>
      <c r="I88" s="139" t="s">
        <v>43</v>
      </c>
    </row>
    <row r="89" spans="2:13" ht="28.5" x14ac:dyDescent="0.2">
      <c r="B89" s="537" t="s">
        <v>282</v>
      </c>
      <c r="C89" s="538"/>
      <c r="D89" s="508">
        <f ca="1">(IF($D$88="&gt;500km", 'Unit Rates'!$F$66, IF($D$88="250-499km", 'Unit Rates'!$F$65,IF($D$88="100-249km", 'Unit Rates'!$F$64,IF($D$88="&lt;100km", 'Unit Rates'!$F$63,0)))))*($D$44&gt;0)</f>
        <v>0</v>
      </c>
      <c r="E89" s="508">
        <f ca="1">(IF($D$88="&gt;500km", 'Unit Rates'!$F$66, IF($D$88="250-499km", 'Unit Rates'!$F$65,IF($D$88="100-249km", 'Unit Rates'!$F$64,IF($D$88="&lt;100km", 'Unit Rates'!$F$63,0)))))*($E$44&gt;0)</f>
        <v>0</v>
      </c>
      <c r="F89" s="508">
        <f ca="1">(IF($D$88="&gt;500km", 'Unit Rates'!$F$66, IF($D$88="250-499km", 'Unit Rates'!$F$65,IF($D$88="100-249km", 'Unit Rates'!$F$64,IF($D$88="&lt;100km", 'Unit Rates'!$F$63,0)))))*($F$44&gt;0)</f>
        <v>0</v>
      </c>
      <c r="G89" s="508">
        <f ca="1">(IF($D$88="&gt;500km", 'Unit Rates'!$F$66, IF($D$88="250-499km", 'Unit Rates'!$F$65,IF($D$88="100-249km", 'Unit Rates'!$F$64,IF($D$88="&lt;100km", 'Unit Rates'!$F$63,0)))))*($G$44&gt;0)</f>
        <v>0</v>
      </c>
      <c r="H89" s="508">
        <f ca="1">(IF($D$88="&gt;500km", 'Unit Rates'!$F$66, IF($D$88="250-499km", 'Unit Rates'!$F$65,IF($D$88="100-249km", 'Unit Rates'!$F$64,IF($D$88="&lt;100km", 'Unit Rates'!$F$63,0)))))*($H$44&gt;0)</f>
        <v>0</v>
      </c>
      <c r="I89" s="139" t="s">
        <v>252</v>
      </c>
    </row>
    <row r="90" spans="2:13" ht="28.5" x14ac:dyDescent="0.2">
      <c r="B90" s="537" t="s">
        <v>283</v>
      </c>
      <c r="C90" s="538"/>
      <c r="D90" s="507">
        <f ca="1">(IF($D$88="&gt;500km", 'Unit Rates'!$F$66, IF($D$88="250-499km", 'Unit Rates'!$F$65,IF($D$88="100-249km", 'Unit Rates'!$F$64,IF($D$88="&lt;100km", 'Unit Rates'!$F$63,0)))))*($D$44&gt;0)</f>
        <v>0</v>
      </c>
      <c r="E90" s="509">
        <f ca="1">(IF($D$88="&gt;500km", 'Unit Rates'!$F$66, IF($D$88="250-499km", 'Unit Rates'!$F$65,IF($D$88="100-249km", 'Unit Rates'!$F$64,IF($D$88="&lt;100km", 'Unit Rates'!$F$63,0)))))*($E$44&gt;0)</f>
        <v>0</v>
      </c>
      <c r="F90" s="509">
        <f ca="1">(IF($D$88="&gt;500km", 'Unit Rates'!$F$66, IF($D$88="250-499km", 'Unit Rates'!$F$65,IF($D$88="100-249km", 'Unit Rates'!$F$64,IF($D$88="&lt;100km", 'Unit Rates'!$F$63,0)))))*($F$44&gt;0)</f>
        <v>0</v>
      </c>
      <c r="G90" s="509">
        <f ca="1">(IF($D$88="&gt;500km", 'Unit Rates'!$F$66, IF($D$88="250-499km", 'Unit Rates'!$F$65,IF($D$88="100-249km", 'Unit Rates'!$F$64,IF($D$88="&lt;100km", 'Unit Rates'!$F$63,0)))))*($G$44&gt;0)</f>
        <v>0</v>
      </c>
      <c r="H90" s="509">
        <f ca="1">(IF($D$88="&gt;500km", 'Unit Rates'!$F$66, IF($D$88="250-499km", 'Unit Rates'!$F$65,IF($D$88="100-249km", 'Unit Rates'!$F$64,IF($D$88="&lt;100km", 'Unit Rates'!$F$63,0)))))*($H$44&gt;0)</f>
        <v>0</v>
      </c>
      <c r="I90" s="139" t="s">
        <v>281</v>
      </c>
    </row>
    <row r="91" spans="2:13" ht="36" customHeight="1" x14ac:dyDescent="0.2">
      <c r="B91" s="541" t="s">
        <v>325</v>
      </c>
      <c r="C91" s="542" t="s">
        <v>44</v>
      </c>
      <c r="D91" s="517">
        <f ca="1">SUM(D89:D90)</f>
        <v>0</v>
      </c>
      <c r="E91" s="483">
        <f ca="1">SUM(E89:E90)</f>
        <v>0</v>
      </c>
      <c r="F91" s="483">
        <f ca="1">SUM(F89:F90)</f>
        <v>0</v>
      </c>
      <c r="G91" s="483">
        <f ca="1">SUM(G89:G90)</f>
        <v>0</v>
      </c>
      <c r="H91" s="483">
        <f ca="1">SUM(H89:H90)</f>
        <v>0</v>
      </c>
      <c r="I91" s="138" t="s">
        <v>311</v>
      </c>
    </row>
    <row r="92" spans="2:13" ht="18" x14ac:dyDescent="0.2">
      <c r="B92" s="2"/>
      <c r="C92" s="118"/>
      <c r="D92" s="10"/>
      <c r="E92" s="10"/>
      <c r="F92" s="10"/>
      <c r="G92" s="10"/>
      <c r="H92" s="10"/>
      <c r="I92" s="177"/>
    </row>
    <row r="93" spans="2:13" ht="19.5" x14ac:dyDescent="0.2">
      <c r="B93" s="16" t="s">
        <v>308</v>
      </c>
      <c r="C93" s="119"/>
      <c r="D93" s="34"/>
      <c r="E93" s="34"/>
      <c r="F93" s="34"/>
      <c r="G93" s="34"/>
      <c r="H93" s="34"/>
      <c r="I93" s="16" t="s">
        <v>2</v>
      </c>
      <c r="J93" s="391"/>
    </row>
    <row r="94" spans="2:13" ht="28.5" x14ac:dyDescent="0.2">
      <c r="B94" s="537" t="s">
        <v>322</v>
      </c>
      <c r="C94" s="538"/>
      <c r="D94" s="505">
        <f ca="1">(D44+D91)*0.1</f>
        <v>0</v>
      </c>
      <c r="E94" s="505">
        <f t="shared" ref="E94:H94" ca="1" si="48">(E44+E91)*0.1</f>
        <v>0</v>
      </c>
      <c r="F94" s="505">
        <f t="shared" ca="1" si="48"/>
        <v>0</v>
      </c>
      <c r="G94" s="505">
        <f t="shared" ca="1" si="48"/>
        <v>0</v>
      </c>
      <c r="H94" s="505">
        <f t="shared" ca="1" si="48"/>
        <v>0</v>
      </c>
      <c r="I94" s="139" t="s">
        <v>323</v>
      </c>
      <c r="J94" s="482"/>
    </row>
    <row r="95" spans="2:13" ht="31.9" customHeight="1" x14ac:dyDescent="0.2">
      <c r="B95" s="537" t="s">
        <v>45</v>
      </c>
      <c r="C95" s="538"/>
      <c r="D95" s="506">
        <f ca="1">(D44+D91)*0.1</f>
        <v>0</v>
      </c>
      <c r="E95" s="506">
        <f t="shared" ref="E95:H95" ca="1" si="49">(E44+E91)*0.1</f>
        <v>0</v>
      </c>
      <c r="F95" s="506">
        <f t="shared" ca="1" si="49"/>
        <v>0</v>
      </c>
      <c r="G95" s="506">
        <f t="shared" ca="1" si="49"/>
        <v>0</v>
      </c>
      <c r="H95" s="506">
        <f t="shared" ca="1" si="49"/>
        <v>0</v>
      </c>
      <c r="I95" s="139" t="s">
        <v>309</v>
      </c>
    </row>
    <row r="96" spans="2:13" ht="28.9" customHeight="1" x14ac:dyDescent="0.2">
      <c r="B96" s="537" t="s">
        <v>46</v>
      </c>
      <c r="C96" s="538"/>
      <c r="D96" s="507">
        <f ca="1">D23*0.2</f>
        <v>0</v>
      </c>
      <c r="E96" s="507">
        <f ca="1">E23*0.2</f>
        <v>0</v>
      </c>
      <c r="F96" s="507">
        <f ca="1">F23*0.2</f>
        <v>0</v>
      </c>
      <c r="G96" s="507">
        <f ca="1">G23*0.2</f>
        <v>0</v>
      </c>
      <c r="H96" s="507">
        <f ca="1">H23*0.2</f>
        <v>0</v>
      </c>
      <c r="I96" s="139" t="s">
        <v>47</v>
      </c>
    </row>
    <row r="97" spans="1:17" ht="31.15" customHeight="1" x14ac:dyDescent="0.2">
      <c r="B97" s="541" t="s">
        <v>328</v>
      </c>
      <c r="C97" s="541"/>
      <c r="D97" s="483">
        <f ca="1">SUM(D94:D96)</f>
        <v>0</v>
      </c>
      <c r="E97" s="483">
        <f ca="1">SUM(E94:E96)</f>
        <v>0</v>
      </c>
      <c r="F97" s="483">
        <f ca="1">SUM(F94:F96)</f>
        <v>0</v>
      </c>
      <c r="G97" s="483">
        <f ca="1">SUM(G94:G96)</f>
        <v>0</v>
      </c>
      <c r="H97" s="483">
        <f ca="1">SUM(H94:H96)</f>
        <v>0</v>
      </c>
      <c r="I97" s="138" t="s">
        <v>310</v>
      </c>
    </row>
    <row r="98" spans="1:17" x14ac:dyDescent="0.2">
      <c r="B98" s="3"/>
      <c r="C98" s="116"/>
      <c r="D98" s="3"/>
      <c r="E98" s="3"/>
      <c r="F98" s="3"/>
      <c r="G98" s="3"/>
      <c r="H98" s="3"/>
      <c r="I98" s="179"/>
    </row>
    <row r="99" spans="1:17" s="504" customFormat="1" ht="34.9" customHeight="1" x14ac:dyDescent="0.2">
      <c r="A99" s="503"/>
      <c r="B99" s="559" t="s">
        <v>48</v>
      </c>
      <c r="C99" s="559"/>
      <c r="D99" s="513">
        <f ca="1">SUM(D44, D91, D97)</f>
        <v>0</v>
      </c>
      <c r="E99" s="514">
        <f ca="1">SUM(E44, E91, E97)</f>
        <v>0</v>
      </c>
      <c r="F99" s="514">
        <f ca="1">SUM(F44, F91, F97)</f>
        <v>0</v>
      </c>
      <c r="G99" s="514">
        <f ca="1">SUM(G44, G91, G97)</f>
        <v>0</v>
      </c>
      <c r="H99" s="514">
        <f ca="1">SUM(H44, H91, H97)</f>
        <v>0</v>
      </c>
      <c r="I99" s="515" t="s">
        <v>324</v>
      </c>
      <c r="J99" s="503"/>
    </row>
    <row r="100" spans="1:17" x14ac:dyDescent="0.2">
      <c r="B100" s="3"/>
      <c r="C100" s="116"/>
      <c r="D100" s="3"/>
      <c r="E100" s="3"/>
      <c r="F100" s="3"/>
      <c r="G100" s="3"/>
      <c r="H100" s="3"/>
    </row>
    <row r="101" spans="1:17" x14ac:dyDescent="0.2">
      <c r="B101" s="75" t="s">
        <v>248</v>
      </c>
      <c r="C101" s="116"/>
      <c r="D101" s="3"/>
      <c r="E101" s="3"/>
      <c r="F101" s="3"/>
      <c r="G101" s="3"/>
      <c r="H101" s="3"/>
    </row>
    <row r="102" spans="1:17" s="11" customFormat="1" ht="86.1" customHeight="1" x14ac:dyDescent="0.2">
      <c r="A102" s="4"/>
      <c r="B102" s="568" t="s">
        <v>49</v>
      </c>
      <c r="C102" s="569"/>
      <c r="D102" s="569"/>
      <c r="E102" s="570"/>
      <c r="I102" s="14"/>
      <c r="J102" s="4"/>
      <c r="K102" s="3"/>
    </row>
    <row r="103" spans="1:17" s="11" customFormat="1" ht="15" thickBot="1" x14ac:dyDescent="0.25">
      <c r="A103" s="4"/>
      <c r="C103" s="120"/>
      <c r="I103" s="14"/>
      <c r="J103" s="4"/>
      <c r="K103" s="3"/>
    </row>
    <row r="104" spans="1:17" s="11" customFormat="1" ht="19.5" x14ac:dyDescent="0.2">
      <c r="A104" s="4"/>
      <c r="B104" s="12" t="s">
        <v>50</v>
      </c>
      <c r="C104" s="554"/>
      <c r="D104" s="555"/>
      <c r="E104" s="556"/>
      <c r="F104" s="3"/>
      <c r="G104" s="3"/>
      <c r="H104" s="3"/>
      <c r="I104" s="14"/>
      <c r="J104" s="4"/>
      <c r="K104" s="3"/>
      <c r="L104" s="3"/>
      <c r="M104" s="3"/>
      <c r="N104" s="3"/>
    </row>
    <row r="105" spans="1:17" ht="20.25" thickBot="1" x14ac:dyDescent="0.25">
      <c r="B105" s="13" t="s">
        <v>14</v>
      </c>
      <c r="C105" s="551"/>
      <c r="D105" s="552"/>
      <c r="E105" s="553"/>
      <c r="F105" s="3"/>
      <c r="G105" s="3"/>
      <c r="H105" s="3"/>
    </row>
    <row r="106" spans="1:17" x14ac:dyDescent="0.2">
      <c r="B106" s="3"/>
      <c r="C106" s="116"/>
      <c r="D106" s="3"/>
      <c r="E106" s="3"/>
      <c r="F106" s="3"/>
      <c r="G106" s="3"/>
      <c r="H106" s="3"/>
    </row>
    <row r="107" spans="1:17" s="5" customFormat="1" ht="18" x14ac:dyDescent="0.2">
      <c r="A107" s="4"/>
      <c r="B107" s="76" t="s">
        <v>6</v>
      </c>
      <c r="C107" s="182"/>
      <c r="D107" s="169"/>
      <c r="E107" s="169"/>
      <c r="F107" s="169"/>
      <c r="G107" s="169"/>
      <c r="H107" s="169"/>
      <c r="I107" s="169"/>
      <c r="J107" s="169"/>
      <c r="K107" s="169"/>
      <c r="L107" s="4"/>
      <c r="M107" s="4"/>
      <c r="N107" s="4"/>
      <c r="O107" s="4"/>
      <c r="P107" s="4"/>
      <c r="Q107" s="4"/>
    </row>
    <row r="108" spans="1:17" hidden="1" x14ac:dyDescent="0.2">
      <c r="B108" s="3"/>
      <c r="C108" s="116"/>
      <c r="D108" s="3"/>
      <c r="E108" s="3"/>
      <c r="F108" s="3"/>
      <c r="G108" s="3"/>
      <c r="H108" s="3"/>
    </row>
    <row r="109" spans="1:17" hidden="1" x14ac:dyDescent="0.2">
      <c r="B109" s="3"/>
      <c r="C109" s="116"/>
      <c r="D109" s="3"/>
      <c r="E109" s="3"/>
      <c r="F109" s="3"/>
      <c r="G109" s="3"/>
      <c r="H109" s="3"/>
    </row>
    <row r="110" spans="1:17" hidden="1" x14ac:dyDescent="0.2">
      <c r="B110" s="3"/>
      <c r="C110" s="116"/>
      <c r="D110" s="3"/>
      <c r="E110" s="3"/>
      <c r="F110" s="3"/>
      <c r="G110" s="3"/>
      <c r="H110" s="3"/>
    </row>
    <row r="111" spans="1:17" hidden="1" x14ac:dyDescent="0.2">
      <c r="B111" s="3"/>
      <c r="C111" s="116"/>
      <c r="D111" s="3"/>
      <c r="E111" s="3"/>
      <c r="F111" s="3"/>
      <c r="G111" s="3"/>
      <c r="H111" s="3"/>
    </row>
    <row r="112" spans="1:17" hidden="1" x14ac:dyDescent="0.2">
      <c r="B112" s="3"/>
      <c r="C112" s="116"/>
      <c r="D112" s="3"/>
      <c r="E112" s="3"/>
      <c r="F112" s="3"/>
      <c r="G112" s="3"/>
      <c r="H112" s="3"/>
    </row>
    <row r="113" spans="1:10" hidden="1" x14ac:dyDescent="0.2">
      <c r="B113" s="3"/>
      <c r="C113" s="116"/>
      <c r="D113" s="3"/>
      <c r="E113" s="3"/>
      <c r="F113" s="3"/>
      <c r="G113" s="3"/>
      <c r="H113" s="3"/>
    </row>
    <row r="114" spans="1:10" hidden="1" x14ac:dyDescent="0.2">
      <c r="B114" s="3"/>
      <c r="C114" s="116"/>
      <c r="D114" s="3"/>
      <c r="E114" s="3"/>
      <c r="F114" s="3"/>
      <c r="G114" s="3"/>
      <c r="H114" s="3"/>
    </row>
    <row r="115" spans="1:10" hidden="1" x14ac:dyDescent="0.2">
      <c r="B115" s="3"/>
      <c r="C115" s="116"/>
      <c r="D115" s="3"/>
      <c r="E115" s="3"/>
      <c r="F115" s="3"/>
      <c r="G115" s="3"/>
      <c r="H115" s="3"/>
    </row>
    <row r="116" spans="1:10" hidden="1" x14ac:dyDescent="0.2">
      <c r="B116" s="3"/>
      <c r="C116" s="116"/>
      <c r="D116" s="3"/>
      <c r="E116" s="3"/>
      <c r="F116" s="3"/>
      <c r="G116" s="3"/>
      <c r="H116" s="3"/>
    </row>
    <row r="117" spans="1:10" hidden="1" x14ac:dyDescent="0.2">
      <c r="B117" s="3"/>
      <c r="C117" s="116"/>
      <c r="D117" s="3"/>
      <c r="E117" s="3"/>
      <c r="F117" s="3"/>
      <c r="G117" s="3"/>
      <c r="H117" s="3"/>
    </row>
    <row r="118" spans="1:10" hidden="1" x14ac:dyDescent="0.2">
      <c r="A118" s="157"/>
      <c r="B118" s="3"/>
      <c r="C118" s="116"/>
      <c r="D118" s="3"/>
      <c r="E118" s="3"/>
      <c r="F118" s="3"/>
      <c r="G118" s="3"/>
      <c r="H118" s="3"/>
      <c r="J118" s="157"/>
    </row>
    <row r="285" spans="1:10" hidden="1" x14ac:dyDescent="0.2">
      <c r="A285" s="168"/>
      <c r="J285" s="168"/>
    </row>
  </sheetData>
  <sheetProtection algorithmName="SHA-512" hashValue="JWMuwUga9n6WspzdoIwiz4ETcMtpNgPXUNYjEf2WlP/AgURy36rc3DknZSN+bUTWIyptiWNglE7MsyZ3/L+A+w==" saltValue="N0ErD6Q4pXeXh6eFrsdiVQ==" spinCount="100000" sheet="1" objects="1" scenarios="1"/>
  <mergeCells count="58">
    <mergeCell ref="I65:I70"/>
    <mergeCell ref="B71:C71"/>
    <mergeCell ref="I72:I77"/>
    <mergeCell ref="B78:C78"/>
    <mergeCell ref="I79:I84"/>
    <mergeCell ref="I58:I63"/>
    <mergeCell ref="G47:G48"/>
    <mergeCell ref="H47:H48"/>
    <mergeCell ref="I47:I48"/>
    <mergeCell ref="B50:C50"/>
    <mergeCell ref="I51:I56"/>
    <mergeCell ref="I24:I29"/>
    <mergeCell ref="D14:I14"/>
    <mergeCell ref="D15:I15"/>
    <mergeCell ref="D16:I16"/>
    <mergeCell ref="D17:I17"/>
    <mergeCell ref="B14:C14"/>
    <mergeCell ref="B15:C15"/>
    <mergeCell ref="B16:C16"/>
    <mergeCell ref="B17:C17"/>
    <mergeCell ref="B102:E102"/>
    <mergeCell ref="B47:C48"/>
    <mergeCell ref="D47:D48"/>
    <mergeCell ref="E47:E48"/>
    <mergeCell ref="B64:C64"/>
    <mergeCell ref="B57:C57"/>
    <mergeCell ref="B94:C94"/>
    <mergeCell ref="C105:E105"/>
    <mergeCell ref="C104:E104"/>
    <mergeCell ref="G20:G21"/>
    <mergeCell ref="H20:H21"/>
    <mergeCell ref="B99:C99"/>
    <mergeCell ref="D20:D21"/>
    <mergeCell ref="E20:E21"/>
    <mergeCell ref="F20:F21"/>
    <mergeCell ref="B20:C21"/>
    <mergeCell ref="B44:C44"/>
    <mergeCell ref="B89:C89"/>
    <mergeCell ref="B90:C90"/>
    <mergeCell ref="B95:C95"/>
    <mergeCell ref="B97:C97"/>
    <mergeCell ref="F47:F48"/>
    <mergeCell ref="B4:I8"/>
    <mergeCell ref="B13:C13"/>
    <mergeCell ref="B96:C96"/>
    <mergeCell ref="B3:I3"/>
    <mergeCell ref="D13:I13"/>
    <mergeCell ref="B23:C23"/>
    <mergeCell ref="B30:C30"/>
    <mergeCell ref="B37:C37"/>
    <mergeCell ref="B91:C91"/>
    <mergeCell ref="B87:C87"/>
    <mergeCell ref="D87:H87"/>
    <mergeCell ref="B88:C88"/>
    <mergeCell ref="D88:H88"/>
    <mergeCell ref="I20:I21"/>
    <mergeCell ref="I31:I36"/>
    <mergeCell ref="I38:I43"/>
  </mergeCells>
  <phoneticPr fontId="3" type="noConversion"/>
  <conditionalFormatting sqref="C24:C29">
    <cfRule type="containsText" dxfId="3" priority="4" stopIfTrue="1" operator="containsText" text="0">
      <formula>NOT(ISERROR(SEARCH("0",C24)))</formula>
    </cfRule>
  </conditionalFormatting>
  <conditionalFormatting sqref="C31:C36">
    <cfRule type="containsText" dxfId="2" priority="3" stopIfTrue="1" operator="containsText" text="0">
      <formula>NOT(ISERROR(SEARCH("0",C31)))</formula>
    </cfRule>
  </conditionalFormatting>
  <conditionalFormatting sqref="C38:C43">
    <cfRule type="containsText" dxfId="1" priority="2" stopIfTrue="1" operator="containsText" text="0">
      <formula>NOT(ISERROR(SEARCH("0",C38)))</formula>
    </cfRule>
  </conditionalFormatting>
  <conditionalFormatting sqref="C51:C56 C58:C63 C65:C70 C72:C77 C79:C84">
    <cfRule type="containsText" dxfId="0" priority="1" stopIfTrue="1" operator="containsText" text="0">
      <formula>NOT(ISERROR(SEARCH("0",C51)))</formula>
    </cfRule>
  </conditionalFormatting>
  <pageMargins left="0.25" right="0.25"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68"/>
  <sheetViews>
    <sheetView zoomScaleNormal="100" workbookViewId="0">
      <selection activeCell="B1" sqref="B1"/>
    </sheetView>
  </sheetViews>
  <sheetFormatPr defaultColWidth="0" defaultRowHeight="14.25" zeroHeight="1" outlineLevelRow="1" x14ac:dyDescent="0.2"/>
  <cols>
    <col min="1" max="1" width="4.5703125" style="3" customWidth="1"/>
    <col min="2" max="2" width="25.5703125" style="257" customWidth="1"/>
    <col min="3" max="4" width="20.42578125" style="258" customWidth="1"/>
    <col min="5" max="5" width="21.5703125" style="257" customWidth="1"/>
    <col min="6" max="6" width="14.5703125" style="257" customWidth="1"/>
    <col min="7" max="7" width="92.5703125" style="259" customWidth="1"/>
    <col min="8" max="8" width="15" style="3" hidden="1" customWidth="1"/>
    <col min="9" max="9" width="67.5703125" style="257" hidden="1" customWidth="1"/>
    <col min="10" max="10" width="86.5703125" style="257" hidden="1" customWidth="1"/>
    <col min="11" max="11" width="6.42578125" style="257" hidden="1" customWidth="1"/>
    <col min="12" max="26" width="9.42578125" style="11" hidden="1" customWidth="1"/>
    <col min="27" max="16384" width="9.85546875" style="11" hidden="1"/>
  </cols>
  <sheetData>
    <row r="1" spans="1:17" s="254" customFormat="1" ht="23.25" thickBot="1" x14ac:dyDescent="0.25">
      <c r="A1" s="294"/>
      <c r="B1" s="295" t="str" cm="1">
        <f t="array" aca="1" ref="B1" ca="1">MID(CELL("filename",C2),FIND("]",CELL("filename",C2))+1,255)</f>
        <v>Unit Rates</v>
      </c>
      <c r="C1" s="294"/>
      <c r="D1" s="294"/>
      <c r="E1" s="296"/>
      <c r="F1" s="296"/>
      <c r="G1" s="297"/>
      <c r="H1" s="253"/>
      <c r="K1" s="255"/>
      <c r="L1" s="256"/>
      <c r="M1" s="256"/>
      <c r="N1" s="253"/>
      <c r="O1" s="253"/>
      <c r="P1" s="253"/>
      <c r="Q1" s="253"/>
    </row>
    <row r="2" spans="1:17" x14ac:dyDescent="0.2">
      <c r="A2" s="298"/>
      <c r="B2" s="299"/>
      <c r="C2" s="300"/>
      <c r="D2" s="300"/>
      <c r="E2" s="299"/>
      <c r="F2" s="299"/>
      <c r="G2" s="301"/>
      <c r="L2" s="260"/>
      <c r="M2" s="260"/>
    </row>
    <row r="3" spans="1:17" ht="18.600000000000001" customHeight="1" x14ac:dyDescent="0.25">
      <c r="A3" s="302"/>
      <c r="B3" s="303" t="s">
        <v>7</v>
      </c>
      <c r="C3" s="303"/>
      <c r="D3" s="303"/>
      <c r="E3" s="303"/>
      <c r="F3" s="303"/>
      <c r="G3" s="303"/>
      <c r="I3" s="261"/>
      <c r="L3" s="260"/>
      <c r="M3" s="260"/>
    </row>
    <row r="4" spans="1:17" ht="28.35" customHeight="1" x14ac:dyDescent="0.25">
      <c r="A4" s="302"/>
      <c r="B4" s="602" t="s">
        <v>312</v>
      </c>
      <c r="C4" s="603"/>
      <c r="D4" s="603"/>
      <c r="E4" s="603"/>
      <c r="F4" s="603"/>
      <c r="G4" s="604"/>
      <c r="L4" s="260"/>
      <c r="M4" s="260"/>
    </row>
    <row r="5" spans="1:17" ht="28.35" customHeight="1" x14ac:dyDescent="0.2">
      <c r="A5" s="298"/>
      <c r="B5" s="605"/>
      <c r="C5" s="606"/>
      <c r="D5" s="606"/>
      <c r="E5" s="606"/>
      <c r="F5" s="606"/>
      <c r="G5" s="607"/>
      <c r="L5" s="260"/>
      <c r="M5" s="260"/>
    </row>
    <row r="6" spans="1:17" ht="13.5" customHeight="1" x14ac:dyDescent="0.2">
      <c r="A6" s="298"/>
      <c r="B6" s="304"/>
      <c r="C6" s="298"/>
      <c r="D6" s="298"/>
      <c r="E6" s="304"/>
      <c r="F6" s="304"/>
      <c r="G6" s="301"/>
      <c r="L6" s="260"/>
      <c r="M6" s="260"/>
    </row>
    <row r="7" spans="1:17" ht="13.5" customHeight="1" thickBot="1" x14ac:dyDescent="0.25">
      <c r="A7" s="298"/>
      <c r="B7" s="305" t="s">
        <v>51</v>
      </c>
      <c r="C7" s="298"/>
      <c r="D7" s="298"/>
      <c r="E7" s="304"/>
      <c r="F7" s="304"/>
      <c r="G7" s="301"/>
      <c r="L7" s="260"/>
      <c r="M7" s="260"/>
    </row>
    <row r="8" spans="1:17" s="266" customFormat="1" ht="18.75" thickBot="1" x14ac:dyDescent="0.3">
      <c r="A8" s="298"/>
      <c r="B8" s="306" t="s">
        <v>229</v>
      </c>
      <c r="C8" s="307" t="s">
        <v>53</v>
      </c>
      <c r="D8" s="308" t="s">
        <v>54</v>
      </c>
      <c r="E8" s="309" t="s">
        <v>55</v>
      </c>
      <c r="F8" s="309" t="s">
        <v>56</v>
      </c>
      <c r="G8" s="310" t="s">
        <v>57</v>
      </c>
      <c r="H8" s="3"/>
      <c r="I8" s="262" t="s">
        <v>58</v>
      </c>
      <c r="J8" s="263"/>
      <c r="K8" s="264"/>
      <c r="L8" s="265"/>
      <c r="M8" s="265"/>
    </row>
    <row r="9" spans="1:17" x14ac:dyDescent="0.2">
      <c r="A9" s="298"/>
      <c r="B9" s="311" t="s">
        <v>59</v>
      </c>
      <c r="C9" s="312"/>
      <c r="D9" s="312"/>
      <c r="E9" s="313"/>
      <c r="F9" s="313"/>
      <c r="G9" s="314"/>
      <c r="I9" s="267"/>
      <c r="J9" s="268" t="s">
        <v>60</v>
      </c>
      <c r="K9" s="269" t="s">
        <v>61</v>
      </c>
      <c r="L9" s="270"/>
      <c r="M9" s="260"/>
    </row>
    <row r="10" spans="1:17" ht="39" outlineLevel="1" thickBot="1" x14ac:dyDescent="0.25">
      <c r="A10" s="298"/>
      <c r="B10" s="399" t="s">
        <v>62</v>
      </c>
      <c r="C10" s="387" t="s">
        <v>73</v>
      </c>
      <c r="D10" s="398" t="s">
        <v>70</v>
      </c>
      <c r="E10" s="388" t="s">
        <v>64</v>
      </c>
      <c r="F10" s="126">
        <v>1552</v>
      </c>
      <c r="G10" s="316" t="s">
        <v>250</v>
      </c>
      <c r="I10" s="271" t="str">
        <f t="shared" ref="I10:I43" si="0">IF(B10="",I9,B10)</f>
        <v>Seismic lines</v>
      </c>
      <c r="J10" s="272" t="str">
        <f>IF(D10&lt;&gt;"-",I10&amp;" - "&amp;D10,I10)</f>
        <v>Seismic lines</v>
      </c>
      <c r="K10" s="273">
        <v>1</v>
      </c>
    </row>
    <row r="11" spans="1:17" ht="41.25" customHeight="1" x14ac:dyDescent="0.2">
      <c r="A11" s="298"/>
      <c r="B11" s="319" t="s">
        <v>65</v>
      </c>
      <c r="C11" s="320"/>
      <c r="D11" s="320"/>
      <c r="E11" s="321"/>
      <c r="F11" s="322"/>
      <c r="G11" s="314"/>
      <c r="I11" s="267"/>
      <c r="J11" s="268" t="s">
        <v>60</v>
      </c>
      <c r="K11" s="269" t="s">
        <v>61</v>
      </c>
      <c r="L11" s="275"/>
    </row>
    <row r="12" spans="1:17" ht="63.75" outlineLevel="1" x14ac:dyDescent="0.2">
      <c r="A12" s="298"/>
      <c r="B12" s="445" t="s">
        <v>253</v>
      </c>
      <c r="C12" s="446" t="s">
        <v>73</v>
      </c>
      <c r="D12" s="446" t="s">
        <v>254</v>
      </c>
      <c r="E12" s="447" t="s">
        <v>136</v>
      </c>
      <c r="F12" s="442">
        <v>1242</v>
      </c>
      <c r="G12" s="449" t="s">
        <v>279</v>
      </c>
      <c r="I12" s="271" t="str">
        <f t="shared" si="0"/>
        <v>Flowline right of ways</v>
      </c>
      <c r="J12" s="272" t="str">
        <f>IF(D12&lt;&gt;"-",I12&amp;" - "&amp;D12,I12)</f>
        <v>Flowline right of ways - By track</v>
      </c>
      <c r="K12" s="273">
        <v>1</v>
      </c>
    </row>
    <row r="13" spans="1:17" ht="38.25" outlineLevel="1" x14ac:dyDescent="0.2">
      <c r="A13" s="298"/>
      <c r="B13" s="448" t="s">
        <v>253</v>
      </c>
      <c r="C13" s="446" t="s">
        <v>73</v>
      </c>
      <c r="D13" s="446" t="s">
        <v>255</v>
      </c>
      <c r="E13" s="447" t="s">
        <v>136</v>
      </c>
      <c r="F13" s="442">
        <v>2484</v>
      </c>
      <c r="G13" s="449" t="s">
        <v>280</v>
      </c>
      <c r="I13" s="271" t="str">
        <f t="shared" si="0"/>
        <v>Flowline right of ways</v>
      </c>
      <c r="J13" s="272" t="str">
        <f>IF(D13&lt;&gt;"-",I13&amp;" - "&amp;D13,I13)</f>
        <v>Flowline right of ways - Not by track</v>
      </c>
      <c r="K13" s="279">
        <v>1</v>
      </c>
    </row>
    <row r="14" spans="1:17" ht="76.5" outlineLevel="1" x14ac:dyDescent="0.2">
      <c r="A14" s="298"/>
      <c r="B14" s="400" t="s">
        <v>66</v>
      </c>
      <c r="C14" s="397" t="s">
        <v>67</v>
      </c>
      <c r="D14" s="398" t="s">
        <v>70</v>
      </c>
      <c r="E14" s="444" t="s">
        <v>64</v>
      </c>
      <c r="F14" s="443">
        <v>4553</v>
      </c>
      <c r="G14" s="450" t="s">
        <v>298</v>
      </c>
      <c r="I14" s="271" t="str">
        <f t="shared" si="0"/>
        <v>Access track (existing)</v>
      </c>
      <c r="J14" s="274" t="str">
        <f t="shared" ref="J14:J16" si="1">IF(D14&lt;&gt;"-",I14&amp;" - "&amp;D14,I14)</f>
        <v>Access track (existing)</v>
      </c>
      <c r="K14" s="276">
        <v>1</v>
      </c>
    </row>
    <row r="15" spans="1:17" ht="63.75" outlineLevel="1" x14ac:dyDescent="0.25">
      <c r="A15" s="302"/>
      <c r="B15" s="608" t="s">
        <v>68</v>
      </c>
      <c r="C15" s="593" t="s">
        <v>63</v>
      </c>
      <c r="D15" s="396" t="s">
        <v>235</v>
      </c>
      <c r="E15" s="600" t="s">
        <v>64</v>
      </c>
      <c r="F15" s="24">
        <v>3133</v>
      </c>
      <c r="G15" s="323" t="s">
        <v>256</v>
      </c>
      <c r="H15" s="180"/>
      <c r="I15" s="271" t="str">
        <f t="shared" si="0"/>
        <v>Access track (new)</v>
      </c>
      <c r="J15" s="274" t="str">
        <f t="shared" si="1"/>
        <v>Access track (new) - No seeding</v>
      </c>
      <c r="K15" s="273">
        <v>2</v>
      </c>
    </row>
    <row r="16" spans="1:17" ht="63.75" outlineLevel="1" x14ac:dyDescent="0.2">
      <c r="A16" s="298"/>
      <c r="B16" s="608"/>
      <c r="C16" s="593"/>
      <c r="D16" s="396" t="s">
        <v>234</v>
      </c>
      <c r="E16" s="600"/>
      <c r="F16" s="24">
        <v>3942</v>
      </c>
      <c r="G16" s="323" t="s">
        <v>321</v>
      </c>
      <c r="I16" s="271" t="str">
        <f t="shared" si="0"/>
        <v>Access track (new)</v>
      </c>
      <c r="J16" s="274" t="str">
        <f t="shared" si="1"/>
        <v>Access track (new) - With seeding</v>
      </c>
      <c r="K16" s="273">
        <v>2</v>
      </c>
    </row>
    <row r="17" spans="1:11" ht="51" outlineLevel="1" x14ac:dyDescent="0.2">
      <c r="A17" s="298"/>
      <c r="B17" s="587" t="s">
        <v>223</v>
      </c>
      <c r="C17" s="596" t="s">
        <v>73</v>
      </c>
      <c r="D17" s="402" t="s">
        <v>225</v>
      </c>
      <c r="E17" s="599" t="s">
        <v>64</v>
      </c>
      <c r="F17" s="24">
        <v>2879</v>
      </c>
      <c r="G17" s="323" t="s">
        <v>257</v>
      </c>
      <c r="I17" s="271" t="str">
        <f t="shared" si="0"/>
        <v>Laydown areas</v>
      </c>
      <c r="J17" s="272" t="str">
        <f t="shared" ref="J17:J20" si="2">IF(D17&lt;&gt;"-",I17&amp;" - "&amp;D17,I17)</f>
        <v>Laydown areas - With seeding, with ripping</v>
      </c>
      <c r="K17" s="273">
        <v>1</v>
      </c>
    </row>
    <row r="18" spans="1:11" ht="51" outlineLevel="1" x14ac:dyDescent="0.2">
      <c r="A18" s="298"/>
      <c r="B18" s="588"/>
      <c r="C18" s="597"/>
      <c r="D18" s="402" t="s">
        <v>224</v>
      </c>
      <c r="E18" s="600"/>
      <c r="F18" s="24">
        <v>2379</v>
      </c>
      <c r="G18" s="323" t="s">
        <v>258</v>
      </c>
      <c r="I18" s="271" t="str">
        <f t="shared" si="0"/>
        <v>Laydown areas</v>
      </c>
      <c r="J18" s="272" t="str">
        <f t="shared" si="2"/>
        <v>Laydown areas - With seeding, no ripping</v>
      </c>
      <c r="K18" s="273">
        <v>1</v>
      </c>
    </row>
    <row r="19" spans="1:11" ht="51" outlineLevel="1" x14ac:dyDescent="0.2">
      <c r="A19" s="298"/>
      <c r="B19" s="588"/>
      <c r="C19" s="597"/>
      <c r="D19" s="402" t="s">
        <v>226</v>
      </c>
      <c r="E19" s="600"/>
      <c r="F19" s="24">
        <v>2070</v>
      </c>
      <c r="G19" s="323" t="s">
        <v>259</v>
      </c>
      <c r="I19" s="271" t="str">
        <f t="shared" si="0"/>
        <v>Laydown areas</v>
      </c>
      <c r="J19" s="272" t="str">
        <f t="shared" si="2"/>
        <v>Laydown areas - No seeding, with ripping</v>
      </c>
      <c r="K19" s="273">
        <v>1</v>
      </c>
    </row>
    <row r="20" spans="1:11" ht="51" outlineLevel="1" x14ac:dyDescent="0.2">
      <c r="A20" s="298"/>
      <c r="B20" s="589"/>
      <c r="C20" s="598"/>
      <c r="D20" s="402" t="s">
        <v>227</v>
      </c>
      <c r="E20" s="601"/>
      <c r="F20" s="24">
        <v>1570</v>
      </c>
      <c r="G20" s="323" t="s">
        <v>260</v>
      </c>
      <c r="I20" s="271" t="str">
        <f t="shared" si="0"/>
        <v>Laydown areas</v>
      </c>
      <c r="J20" s="272" t="str">
        <f t="shared" si="2"/>
        <v>Laydown areas - No seeding, no ripping</v>
      </c>
      <c r="K20" s="273">
        <v>1</v>
      </c>
    </row>
    <row r="21" spans="1:11" ht="38.25" outlineLevel="1" x14ac:dyDescent="0.2">
      <c r="A21" s="298"/>
      <c r="B21" s="324" t="s">
        <v>69</v>
      </c>
      <c r="C21" s="318" t="s">
        <v>303</v>
      </c>
      <c r="D21" s="325" t="s">
        <v>70</v>
      </c>
      <c r="E21" s="401" t="s">
        <v>64</v>
      </c>
      <c r="F21" s="24">
        <v>3076.67</v>
      </c>
      <c r="G21" s="409" t="s">
        <v>299</v>
      </c>
      <c r="I21" s="271" t="str">
        <f t="shared" si="0"/>
        <v>Gravel pits</v>
      </c>
      <c r="J21" s="272" t="str">
        <f t="shared" ref="J21:J26" si="3">IF(D21&lt;&gt;"-",I21&amp;" - "&amp;D21,I21)</f>
        <v>Gravel pits</v>
      </c>
      <c r="K21" s="273">
        <v>1</v>
      </c>
    </row>
    <row r="22" spans="1:11" ht="51" outlineLevel="1" x14ac:dyDescent="0.2">
      <c r="A22" s="298"/>
      <c r="B22" s="324" t="s">
        <v>72</v>
      </c>
      <c r="C22" s="406" t="s">
        <v>73</v>
      </c>
      <c r="D22" s="318" t="s">
        <v>70</v>
      </c>
      <c r="E22" s="326" t="s">
        <v>64</v>
      </c>
      <c r="F22" s="24">
        <v>5785</v>
      </c>
      <c r="G22" s="317" t="s">
        <v>74</v>
      </c>
      <c r="I22" s="271" t="str">
        <f t="shared" si="0"/>
        <v>Well pad</v>
      </c>
      <c r="J22" s="272" t="str">
        <f t="shared" si="3"/>
        <v>Well pad</v>
      </c>
      <c r="K22" s="273">
        <v>1</v>
      </c>
    </row>
    <row r="23" spans="1:11" ht="51" outlineLevel="1" x14ac:dyDescent="0.2">
      <c r="A23" s="298"/>
      <c r="B23" s="587" t="s">
        <v>75</v>
      </c>
      <c r="C23" s="592" t="s">
        <v>73</v>
      </c>
      <c r="D23" s="318" t="s">
        <v>234</v>
      </c>
      <c r="E23" s="590" t="s">
        <v>64</v>
      </c>
      <c r="F23" s="25">
        <v>3439</v>
      </c>
      <c r="G23" s="323" t="s">
        <v>295</v>
      </c>
      <c r="I23" s="271" t="str">
        <f t="shared" si="0"/>
        <v>Camp</v>
      </c>
      <c r="J23" s="272" t="str">
        <f t="shared" si="3"/>
        <v>Camp - With seeding</v>
      </c>
      <c r="K23" s="273">
        <v>1</v>
      </c>
    </row>
    <row r="24" spans="1:11" ht="51" outlineLevel="1" x14ac:dyDescent="0.2">
      <c r="A24" s="298"/>
      <c r="B24" s="589"/>
      <c r="C24" s="593"/>
      <c r="D24" s="318" t="s">
        <v>235</v>
      </c>
      <c r="E24" s="590"/>
      <c r="F24" s="25">
        <v>2630</v>
      </c>
      <c r="G24" s="323" t="s">
        <v>261</v>
      </c>
      <c r="I24" s="271" t="str">
        <f t="shared" si="0"/>
        <v>Camp</v>
      </c>
      <c r="J24" s="272" t="str">
        <f t="shared" si="3"/>
        <v>Camp - No seeding</v>
      </c>
      <c r="K24" s="273">
        <v>1</v>
      </c>
    </row>
    <row r="25" spans="1:11" ht="51" outlineLevel="1" x14ac:dyDescent="0.2">
      <c r="A25" s="298"/>
      <c r="B25" s="587" t="s">
        <v>76</v>
      </c>
      <c r="C25" s="593" t="s">
        <v>73</v>
      </c>
      <c r="D25" s="318" t="s">
        <v>234</v>
      </c>
      <c r="E25" s="590" t="s">
        <v>64</v>
      </c>
      <c r="F25" s="31">
        <v>3439</v>
      </c>
      <c r="G25" s="323" t="s">
        <v>266</v>
      </c>
      <c r="I25" s="271" t="str">
        <f t="shared" si="0"/>
        <v>Miscellaneous clearing</v>
      </c>
      <c r="J25" s="272" t="str">
        <f t="shared" si="3"/>
        <v>Miscellaneous clearing - With seeding</v>
      </c>
      <c r="K25" s="273">
        <v>1</v>
      </c>
    </row>
    <row r="26" spans="1:11" ht="51.75" outlineLevel="1" thickBot="1" x14ac:dyDescent="0.25">
      <c r="A26" s="298"/>
      <c r="B26" s="594"/>
      <c r="C26" s="595"/>
      <c r="D26" s="327" t="s">
        <v>235</v>
      </c>
      <c r="E26" s="591"/>
      <c r="F26" s="29">
        <v>2630</v>
      </c>
      <c r="G26" s="328" t="s">
        <v>267</v>
      </c>
      <c r="I26" s="271" t="str">
        <f t="shared" si="0"/>
        <v>Miscellaneous clearing</v>
      </c>
      <c r="J26" s="278" t="str">
        <f t="shared" si="3"/>
        <v>Miscellaneous clearing - No seeding</v>
      </c>
      <c r="K26" s="279">
        <v>1</v>
      </c>
    </row>
    <row r="27" spans="1:11" x14ac:dyDescent="0.2">
      <c r="A27" s="298"/>
      <c r="B27" s="311" t="s">
        <v>32</v>
      </c>
      <c r="C27" s="329"/>
      <c r="D27" s="330"/>
      <c r="E27" s="322"/>
      <c r="F27" s="321"/>
      <c r="G27" s="331"/>
      <c r="I27" s="280"/>
      <c r="J27" s="281" t="s">
        <v>60</v>
      </c>
      <c r="K27" s="282"/>
    </row>
    <row r="28" spans="1:11" ht="38.25" outlineLevel="1" x14ac:dyDescent="0.2">
      <c r="A28" s="298"/>
      <c r="B28" s="332" t="s">
        <v>77</v>
      </c>
      <c r="C28" s="398" t="s">
        <v>103</v>
      </c>
      <c r="D28" s="333" t="s">
        <v>70</v>
      </c>
      <c r="E28" s="401" t="s">
        <v>79</v>
      </c>
      <c r="F28" s="46">
        <v>2.5499999999999998</v>
      </c>
      <c r="G28" s="316" t="s">
        <v>249</v>
      </c>
      <c r="I28" s="271" t="str">
        <f t="shared" si="0"/>
        <v>Fencing</v>
      </c>
      <c r="J28" s="283" t="str">
        <f t="shared" ref="J28:J42" si="4">IF(D28&lt;&gt;"-",I28&amp;" - "&amp;D28,I28)</f>
        <v>Fencing</v>
      </c>
      <c r="K28" s="284">
        <v>1</v>
      </c>
    </row>
    <row r="29" spans="1:11" ht="63.75" outlineLevel="1" x14ac:dyDescent="0.2">
      <c r="A29" s="298"/>
      <c r="B29" s="324" t="s">
        <v>80</v>
      </c>
      <c r="C29" s="318" t="s">
        <v>81</v>
      </c>
      <c r="D29" s="334" t="s">
        <v>70</v>
      </c>
      <c r="E29" s="335" t="s">
        <v>82</v>
      </c>
      <c r="F29" s="24">
        <v>12150</v>
      </c>
      <c r="G29" s="317" t="s">
        <v>297</v>
      </c>
      <c r="I29" s="271" t="str">
        <f t="shared" si="0"/>
        <v>Groundwater bore &lt; 70m TVD</v>
      </c>
      <c r="J29" s="278" t="str">
        <f t="shared" si="4"/>
        <v>Groundwater bore &lt; 70m TVD</v>
      </c>
      <c r="K29" s="279">
        <v>1</v>
      </c>
    </row>
    <row r="30" spans="1:11" ht="63.75" outlineLevel="1" x14ac:dyDescent="0.2">
      <c r="A30" s="298"/>
      <c r="B30" s="324" t="s">
        <v>83</v>
      </c>
      <c r="C30" s="318" t="s">
        <v>81</v>
      </c>
      <c r="D30" s="334" t="s">
        <v>70</v>
      </c>
      <c r="E30" s="335" t="s">
        <v>82</v>
      </c>
      <c r="F30" s="24">
        <v>15150</v>
      </c>
      <c r="G30" s="317" t="s">
        <v>296</v>
      </c>
      <c r="I30" s="271" t="str">
        <f t="shared" si="0"/>
        <v>Groundwater bore ≥ 70m TVD</v>
      </c>
      <c r="J30" s="278" t="str">
        <f t="shared" si="4"/>
        <v>Groundwater bore ≥ 70m TVD</v>
      </c>
      <c r="K30" s="279">
        <v>1</v>
      </c>
    </row>
    <row r="31" spans="1:11" ht="38.25" outlineLevel="1" x14ac:dyDescent="0.2">
      <c r="A31" s="298"/>
      <c r="B31" s="324" t="s">
        <v>84</v>
      </c>
      <c r="C31" s="318" t="s">
        <v>85</v>
      </c>
      <c r="D31" s="334" t="s">
        <v>70</v>
      </c>
      <c r="E31" s="335" t="s">
        <v>82</v>
      </c>
      <c r="F31" s="24">
        <v>5050</v>
      </c>
      <c r="G31" s="317" t="s">
        <v>236</v>
      </c>
      <c r="I31" s="271" t="str">
        <f t="shared" si="0"/>
        <v>Drill sump liners</v>
      </c>
      <c r="J31" s="278" t="str">
        <f t="shared" si="4"/>
        <v>Drill sump liners</v>
      </c>
      <c r="K31" s="279">
        <v>1</v>
      </c>
    </row>
    <row r="32" spans="1:11" ht="25.5" outlineLevel="1" x14ac:dyDescent="0.2">
      <c r="A32" s="298"/>
      <c r="B32" s="324" t="s">
        <v>86</v>
      </c>
      <c r="C32" s="318" t="s">
        <v>87</v>
      </c>
      <c r="D32" s="334" t="s">
        <v>70</v>
      </c>
      <c r="E32" s="335" t="s">
        <v>71</v>
      </c>
      <c r="F32" s="27">
        <v>2.36</v>
      </c>
      <c r="G32" s="317" t="s">
        <v>262</v>
      </c>
      <c r="I32" s="271" t="str">
        <f t="shared" si="0"/>
        <v>Drill sump</v>
      </c>
      <c r="J32" s="278" t="str">
        <f t="shared" si="4"/>
        <v>Drill sump</v>
      </c>
      <c r="K32" s="279">
        <v>1</v>
      </c>
    </row>
    <row r="33" spans="1:12" ht="25.5" outlineLevel="1" x14ac:dyDescent="0.2">
      <c r="A33" s="298"/>
      <c r="B33" s="324" t="s">
        <v>88</v>
      </c>
      <c r="C33" s="318" t="s">
        <v>87</v>
      </c>
      <c r="D33" s="334" t="s">
        <v>70</v>
      </c>
      <c r="E33" s="335" t="s">
        <v>71</v>
      </c>
      <c r="F33" s="27">
        <v>2.36</v>
      </c>
      <c r="G33" s="317" t="s">
        <v>263</v>
      </c>
      <c r="I33" s="271" t="str">
        <f t="shared" si="0"/>
        <v>Flare pit</v>
      </c>
      <c r="J33" s="278" t="str">
        <f t="shared" si="4"/>
        <v>Flare pit</v>
      </c>
      <c r="K33" s="279">
        <v>1</v>
      </c>
    </row>
    <row r="34" spans="1:12" ht="51" outlineLevel="1" x14ac:dyDescent="0.2">
      <c r="A34" s="298"/>
      <c r="B34" s="324" t="s">
        <v>89</v>
      </c>
      <c r="C34" s="318" t="s">
        <v>85</v>
      </c>
      <c r="D34" s="334" t="s">
        <v>70</v>
      </c>
      <c r="E34" s="335" t="s">
        <v>82</v>
      </c>
      <c r="F34" s="24">
        <v>15100</v>
      </c>
      <c r="G34" s="317" t="s">
        <v>300</v>
      </c>
      <c r="I34" s="271" t="str">
        <f t="shared" si="0"/>
        <v>Wastewater tank</v>
      </c>
      <c r="J34" s="278" t="str">
        <f t="shared" si="4"/>
        <v>Wastewater tank</v>
      </c>
      <c r="K34" s="279">
        <v>1</v>
      </c>
    </row>
    <row r="35" spans="1:12" ht="38.25" outlineLevel="1" x14ac:dyDescent="0.2">
      <c r="A35" s="298"/>
      <c r="B35" s="324" t="s">
        <v>90</v>
      </c>
      <c r="C35" s="318" t="s">
        <v>85</v>
      </c>
      <c r="D35" s="334" t="s">
        <v>70</v>
      </c>
      <c r="E35" s="336" t="s">
        <v>82</v>
      </c>
      <c r="F35" s="24">
        <v>7850</v>
      </c>
      <c r="G35" s="337" t="s">
        <v>306</v>
      </c>
      <c r="I35" s="271" t="str">
        <f t="shared" si="0"/>
        <v>Wastewater treatment plant (camp)</v>
      </c>
      <c r="J35" s="278" t="str">
        <f t="shared" si="4"/>
        <v>Wastewater treatment plant (camp)</v>
      </c>
      <c r="K35" s="279">
        <v>1</v>
      </c>
    </row>
    <row r="36" spans="1:12" ht="38.25" outlineLevel="1" x14ac:dyDescent="0.2">
      <c r="A36" s="298"/>
      <c r="B36" s="324" t="s">
        <v>92</v>
      </c>
      <c r="C36" s="318" t="s">
        <v>87</v>
      </c>
      <c r="D36" s="334" t="s">
        <v>70</v>
      </c>
      <c r="E36" s="335" t="s">
        <v>71</v>
      </c>
      <c r="F36" s="27">
        <v>2.36</v>
      </c>
      <c r="G36" s="317" t="s">
        <v>268</v>
      </c>
      <c r="I36" s="271" t="str">
        <f t="shared" si="0"/>
        <v>Turkey's nest</v>
      </c>
      <c r="J36" s="278" t="str">
        <f t="shared" si="4"/>
        <v>Turkey's nest</v>
      </c>
      <c r="K36" s="279">
        <v>1</v>
      </c>
    </row>
    <row r="37" spans="1:12" ht="51.75" customHeight="1" outlineLevel="1" x14ac:dyDescent="0.2">
      <c r="A37" s="298"/>
      <c r="B37" s="587" t="s">
        <v>93</v>
      </c>
      <c r="C37" s="584" t="s">
        <v>94</v>
      </c>
      <c r="D37" s="334" t="s">
        <v>95</v>
      </c>
      <c r="E37" s="335" t="s">
        <v>96</v>
      </c>
      <c r="F37" s="24">
        <v>45000</v>
      </c>
      <c r="G37" s="317" t="s">
        <v>97</v>
      </c>
      <c r="I37" s="271" t="str">
        <f t="shared" si="0"/>
        <v>Camp capacity</v>
      </c>
      <c r="J37" s="278" t="str">
        <f t="shared" si="4"/>
        <v>Camp capacity - &lt;20 people</v>
      </c>
      <c r="K37" s="279">
        <v>1</v>
      </c>
    </row>
    <row r="38" spans="1:12" ht="51.75" customHeight="1" outlineLevel="1" x14ac:dyDescent="0.2">
      <c r="A38" s="298"/>
      <c r="B38" s="588"/>
      <c r="C38" s="585"/>
      <c r="D38" s="406" t="s">
        <v>98</v>
      </c>
      <c r="E38" s="335" t="s">
        <v>96</v>
      </c>
      <c r="F38" s="24">
        <v>65000</v>
      </c>
      <c r="G38" s="338" t="s">
        <v>230</v>
      </c>
      <c r="I38" s="271" t="str">
        <f t="shared" si="0"/>
        <v>Camp capacity</v>
      </c>
      <c r="J38" s="278" t="str">
        <f t="shared" ref="J38:J41" si="5">IF(D38&lt;&gt;"-",I38&amp;" - "&amp;D38,I38)</f>
        <v>Camp capacity - 21-50 people</v>
      </c>
      <c r="K38" s="279"/>
    </row>
    <row r="39" spans="1:12" ht="51.75" customHeight="1" outlineLevel="1" x14ac:dyDescent="0.2">
      <c r="A39" s="298"/>
      <c r="B39" s="588"/>
      <c r="C39" s="585"/>
      <c r="D39" s="406" t="s">
        <v>99</v>
      </c>
      <c r="E39" s="335" t="s">
        <v>96</v>
      </c>
      <c r="F39" s="24">
        <v>95000</v>
      </c>
      <c r="G39" s="338" t="s">
        <v>230</v>
      </c>
      <c r="I39" s="271" t="str">
        <f t="shared" si="0"/>
        <v>Camp capacity</v>
      </c>
      <c r="J39" s="278" t="str">
        <f t="shared" si="5"/>
        <v>Camp capacity - 51-100 people</v>
      </c>
      <c r="K39" s="279"/>
    </row>
    <row r="40" spans="1:12" ht="51.75" customHeight="1" outlineLevel="1" x14ac:dyDescent="0.2">
      <c r="A40" s="298"/>
      <c r="B40" s="588"/>
      <c r="C40" s="585"/>
      <c r="D40" s="406" t="s">
        <v>100</v>
      </c>
      <c r="E40" s="335" t="s">
        <v>96</v>
      </c>
      <c r="F40" s="24">
        <v>140000</v>
      </c>
      <c r="G40" s="338" t="s">
        <v>230</v>
      </c>
      <c r="I40" s="271" t="str">
        <f t="shared" si="0"/>
        <v>Camp capacity</v>
      </c>
      <c r="J40" s="278" t="str">
        <f t="shared" si="5"/>
        <v>Camp capacity - 101-150 people</v>
      </c>
      <c r="K40" s="279"/>
    </row>
    <row r="41" spans="1:12" ht="51.75" customHeight="1" outlineLevel="1" x14ac:dyDescent="0.2">
      <c r="A41" s="298"/>
      <c r="B41" s="589"/>
      <c r="C41" s="586"/>
      <c r="D41" s="406" t="s">
        <v>101</v>
      </c>
      <c r="E41" s="335" t="s">
        <v>96</v>
      </c>
      <c r="F41" s="24">
        <v>170000</v>
      </c>
      <c r="G41" s="338" t="s">
        <v>230</v>
      </c>
      <c r="I41" s="271" t="str">
        <f t="shared" si="0"/>
        <v>Camp capacity</v>
      </c>
      <c r="J41" s="278" t="str">
        <f t="shared" si="5"/>
        <v>Camp capacity - 151-200 people</v>
      </c>
      <c r="K41" s="279"/>
    </row>
    <row r="42" spans="1:12" ht="28.5" outlineLevel="1" x14ac:dyDescent="0.2">
      <c r="A42" s="298"/>
      <c r="B42" s="399" t="s">
        <v>102</v>
      </c>
      <c r="C42" s="396" t="s">
        <v>103</v>
      </c>
      <c r="D42" s="318" t="s">
        <v>264</v>
      </c>
      <c r="E42" s="339" t="s">
        <v>79</v>
      </c>
      <c r="F42" s="24">
        <v>12.1</v>
      </c>
      <c r="G42" s="340" t="s">
        <v>265</v>
      </c>
      <c r="I42" s="271" t="str">
        <f t="shared" si="0"/>
        <v>Flowlines / pipelines</v>
      </c>
      <c r="J42" s="278" t="str">
        <f t="shared" si="4"/>
        <v>Flowlines / pipelines - Above and below ground</v>
      </c>
      <c r="K42" s="279">
        <v>1</v>
      </c>
    </row>
    <row r="43" spans="1:12" ht="51.75" outlineLevel="1" thickBot="1" x14ac:dyDescent="0.25">
      <c r="A43" s="298"/>
      <c r="B43" s="382" t="s">
        <v>104</v>
      </c>
      <c r="C43" s="342" t="s">
        <v>85</v>
      </c>
      <c r="D43" s="318" t="s">
        <v>273</v>
      </c>
      <c r="E43" s="341" t="s">
        <v>82</v>
      </c>
      <c r="F43" s="28">
        <v>65500</v>
      </c>
      <c r="G43" s="340" t="s">
        <v>269</v>
      </c>
      <c r="I43" s="271" t="str">
        <f t="shared" si="0"/>
        <v xml:space="preserve">Contaminated soil testing </v>
      </c>
      <c r="J43" s="278" t="str">
        <f t="shared" ref="J43" si="6">IF(D43&lt;&gt;"-",I43&amp;" - "&amp;D43,I43)</f>
        <v>Contaminated soil testing  - Per well pad</v>
      </c>
      <c r="K43" s="279">
        <v>1</v>
      </c>
    </row>
    <row r="44" spans="1:12" x14ac:dyDescent="0.2">
      <c r="A44" s="298"/>
      <c r="B44" s="311" t="s">
        <v>35</v>
      </c>
      <c r="C44" s="330"/>
      <c r="D44" s="329"/>
      <c r="E44" s="343"/>
      <c r="F44" s="321"/>
      <c r="G44" s="331"/>
      <c r="I44" s="285"/>
      <c r="J44" s="286"/>
      <c r="K44" s="280"/>
      <c r="L44" s="287"/>
    </row>
    <row r="45" spans="1:12" ht="28.5" outlineLevel="1" x14ac:dyDescent="0.2">
      <c r="A45" s="298"/>
      <c r="B45" s="332" t="s">
        <v>105</v>
      </c>
      <c r="C45" s="344" t="s">
        <v>106</v>
      </c>
      <c r="D45" s="398" t="s">
        <v>70</v>
      </c>
      <c r="E45" s="345" t="s">
        <v>107</v>
      </c>
      <c r="F45" s="26">
        <v>150</v>
      </c>
      <c r="G45" s="346" t="s">
        <v>108</v>
      </c>
      <c r="I45" s="277" t="str">
        <f>IF(B45="",I44,B45)</f>
        <v>General waste</v>
      </c>
      <c r="J45" s="278" t="str">
        <f t="shared" ref="J45:J60" si="7">IF(D45&lt;&gt;"-",I45&amp;" - "&amp;D45,I45)</f>
        <v>General waste</v>
      </c>
      <c r="K45" s="279">
        <v>1</v>
      </c>
    </row>
    <row r="46" spans="1:12" ht="42.75" outlineLevel="1" x14ac:dyDescent="0.2">
      <c r="A46" s="298"/>
      <c r="B46" s="324" t="s">
        <v>109</v>
      </c>
      <c r="C46" s="347" t="s">
        <v>110</v>
      </c>
      <c r="D46" s="333" t="s">
        <v>70</v>
      </c>
      <c r="E46" s="335" t="s">
        <v>107</v>
      </c>
      <c r="F46" s="24">
        <v>700</v>
      </c>
      <c r="G46" s="317" t="s">
        <v>111</v>
      </c>
      <c r="I46" s="277" t="str">
        <f t="shared" ref="I46:I60" si="8">IF(B46="",I45,B46)</f>
        <v>Listed waste</v>
      </c>
      <c r="J46" s="278" t="str">
        <f t="shared" si="7"/>
        <v>Listed waste</v>
      </c>
      <c r="K46" s="279">
        <v>1</v>
      </c>
    </row>
    <row r="47" spans="1:12" ht="38.25" outlineLevel="1" x14ac:dyDescent="0.2">
      <c r="A47" s="298"/>
      <c r="B47" s="324" t="s">
        <v>112</v>
      </c>
      <c r="C47" s="406" t="s">
        <v>113</v>
      </c>
      <c r="D47" s="406" t="s">
        <v>70</v>
      </c>
      <c r="E47" s="335" t="s">
        <v>107</v>
      </c>
      <c r="F47" s="24">
        <v>500</v>
      </c>
      <c r="G47" s="337" t="s">
        <v>231</v>
      </c>
      <c r="I47" s="277" t="str">
        <f t="shared" si="8"/>
        <v xml:space="preserve">Chemical waste </v>
      </c>
      <c r="J47" s="278" t="str">
        <f t="shared" si="7"/>
        <v xml:space="preserve">Chemical waste </v>
      </c>
      <c r="K47" s="279">
        <v>1</v>
      </c>
    </row>
    <row r="48" spans="1:12" ht="57" outlineLevel="1" x14ac:dyDescent="0.2">
      <c r="A48" s="298"/>
      <c r="B48" s="348" t="s">
        <v>221</v>
      </c>
      <c r="C48" s="347" t="s">
        <v>114</v>
      </c>
      <c r="D48" s="318" t="s">
        <v>115</v>
      </c>
      <c r="E48" s="335" t="s">
        <v>116</v>
      </c>
      <c r="F48" s="192">
        <v>5</v>
      </c>
      <c r="G48" s="349" t="s">
        <v>232</v>
      </c>
      <c r="I48" s="277" t="str">
        <f t="shared" si="8"/>
        <v>Transport of solid waste, waste water, drilling muds and well pad materials</v>
      </c>
      <c r="J48" s="278" t="str">
        <f t="shared" ref="J48" si="9">IF(D48&lt;&gt;"-",I48&amp;" - "&amp;D48,I48)</f>
        <v>Transport of solid waste, waste water, drilling muds and well pad materials - per tanker required</v>
      </c>
      <c r="K48" s="279">
        <v>1</v>
      </c>
    </row>
    <row r="49" spans="1:11" ht="76.5" outlineLevel="1" x14ac:dyDescent="0.2">
      <c r="A49" s="298"/>
      <c r="B49" s="578" t="s">
        <v>117</v>
      </c>
      <c r="C49" s="581" t="s">
        <v>118</v>
      </c>
      <c r="D49" s="350" t="s">
        <v>119</v>
      </c>
      <c r="E49" s="351" t="s">
        <v>120</v>
      </c>
      <c r="F49" s="352">
        <v>9.9000000000000005E-2</v>
      </c>
      <c r="G49" s="338" t="s">
        <v>233</v>
      </c>
      <c r="I49" s="277" t="str">
        <f t="shared" si="8"/>
        <v>Disposal of wastewater and drilling muds</v>
      </c>
      <c r="J49" s="278" t="str">
        <f t="shared" si="7"/>
        <v>Disposal of wastewater and drilling muds - 0-30g/L - Westrex Facility</v>
      </c>
      <c r="K49" s="279">
        <v>1</v>
      </c>
    </row>
    <row r="50" spans="1:11" ht="28.5" outlineLevel="1" x14ac:dyDescent="0.2">
      <c r="A50" s="298"/>
      <c r="B50" s="579"/>
      <c r="C50" s="582"/>
      <c r="D50" s="403" t="s">
        <v>121</v>
      </c>
      <c r="E50" s="351" t="s">
        <v>120</v>
      </c>
      <c r="F50" s="352">
        <v>9.9000000000000005E-2</v>
      </c>
      <c r="G50" s="338" t="s">
        <v>230</v>
      </c>
      <c r="I50" s="277" t="str">
        <f t="shared" si="8"/>
        <v>Disposal of wastewater and drilling muds</v>
      </c>
      <c r="J50" s="278" t="str">
        <f t="shared" si="7"/>
        <v>Disposal of wastewater and drilling muds - 30-50g/L - Westrex Facility</v>
      </c>
      <c r="K50" s="279"/>
    </row>
    <row r="51" spans="1:11" ht="28.5" outlineLevel="1" x14ac:dyDescent="0.2">
      <c r="A51" s="298"/>
      <c r="B51" s="579"/>
      <c r="C51" s="582"/>
      <c r="D51" s="353" t="s">
        <v>122</v>
      </c>
      <c r="E51" s="351" t="s">
        <v>120</v>
      </c>
      <c r="F51" s="352">
        <v>0.5</v>
      </c>
      <c r="G51" s="338" t="s">
        <v>230</v>
      </c>
      <c r="I51" s="277" t="str">
        <f t="shared" si="8"/>
        <v>Disposal of wastewater and drilling muds</v>
      </c>
      <c r="J51" s="278" t="str">
        <f t="shared" si="7"/>
        <v>Disposal of wastewater and drilling muds - 50-100g/L - Westrex Facility</v>
      </c>
      <c r="K51" s="279"/>
    </row>
    <row r="52" spans="1:11" ht="28.5" outlineLevel="1" x14ac:dyDescent="0.2">
      <c r="A52" s="298"/>
      <c r="B52" s="579"/>
      <c r="C52" s="582"/>
      <c r="D52" s="405" t="s">
        <v>123</v>
      </c>
      <c r="E52" s="351" t="s">
        <v>120</v>
      </c>
      <c r="F52" s="352">
        <v>0.9</v>
      </c>
      <c r="G52" s="338" t="s">
        <v>230</v>
      </c>
      <c r="I52" s="277" t="str">
        <f t="shared" si="8"/>
        <v>Disposal of wastewater and drilling muds</v>
      </c>
      <c r="J52" s="278" t="str">
        <f t="shared" si="7"/>
        <v>Disposal of wastewater and drilling muds - 100-150g/L - Westrex Facility</v>
      </c>
      <c r="K52" s="279"/>
    </row>
    <row r="53" spans="1:11" ht="28.5" outlineLevel="1" x14ac:dyDescent="0.2">
      <c r="A53" s="298"/>
      <c r="B53" s="579"/>
      <c r="C53" s="582"/>
      <c r="D53" s="405" t="s">
        <v>124</v>
      </c>
      <c r="E53" s="351" t="s">
        <v>120</v>
      </c>
      <c r="F53" s="352">
        <v>0.9</v>
      </c>
      <c r="G53" s="338" t="s">
        <v>230</v>
      </c>
      <c r="I53" s="277" t="str">
        <f t="shared" si="8"/>
        <v>Disposal of wastewater and drilling muds</v>
      </c>
      <c r="J53" s="278" t="str">
        <f t="shared" si="7"/>
        <v>Disposal of wastewater and drilling muds - 150-200g/L - Westrex Facility</v>
      </c>
      <c r="K53" s="279"/>
    </row>
    <row r="54" spans="1:11" ht="28.5" outlineLevel="1" x14ac:dyDescent="0.2">
      <c r="A54" s="298"/>
      <c r="B54" s="579"/>
      <c r="C54" s="582"/>
      <c r="D54" s="405" t="s">
        <v>125</v>
      </c>
      <c r="E54" s="351" t="s">
        <v>120</v>
      </c>
      <c r="F54" s="352">
        <v>0.05</v>
      </c>
      <c r="G54" s="338" t="s">
        <v>230</v>
      </c>
      <c r="I54" s="277" t="str">
        <f t="shared" si="8"/>
        <v>Disposal of wastewater and drilling muds</v>
      </c>
      <c r="J54" s="278" t="str">
        <f t="shared" si="7"/>
        <v>Disposal of wastewater and drilling muds - 0-30g/L - HydrEra Facility</v>
      </c>
      <c r="K54" s="279"/>
    </row>
    <row r="55" spans="1:11" ht="28.5" outlineLevel="1" x14ac:dyDescent="0.2">
      <c r="A55" s="298"/>
      <c r="B55" s="579"/>
      <c r="C55" s="582"/>
      <c r="D55" s="403" t="s">
        <v>126</v>
      </c>
      <c r="E55" s="351" t="s">
        <v>120</v>
      </c>
      <c r="F55" s="206">
        <v>0.1</v>
      </c>
      <c r="G55" s="338" t="s">
        <v>230</v>
      </c>
      <c r="I55" s="277" t="str">
        <f t="shared" si="8"/>
        <v>Disposal of wastewater and drilling muds</v>
      </c>
      <c r="J55" s="278" t="str">
        <f t="shared" si="7"/>
        <v>Disposal of wastewater and drilling muds - 30-50g/L - HydrEra Facility</v>
      </c>
      <c r="K55" s="279"/>
    </row>
    <row r="56" spans="1:11" ht="28.5" outlineLevel="1" x14ac:dyDescent="0.2">
      <c r="A56" s="298"/>
      <c r="B56" s="579"/>
      <c r="C56" s="582"/>
      <c r="D56" s="353" t="s">
        <v>127</v>
      </c>
      <c r="E56" s="351" t="s">
        <v>120</v>
      </c>
      <c r="F56" s="352">
        <v>0.2</v>
      </c>
      <c r="G56" s="338" t="s">
        <v>230</v>
      </c>
      <c r="I56" s="277" t="str">
        <f t="shared" si="8"/>
        <v>Disposal of wastewater and drilling muds</v>
      </c>
      <c r="J56" s="278" t="str">
        <f t="shared" si="7"/>
        <v>Disposal of wastewater and drilling muds - 50-100g/L - HydrEra Facility</v>
      </c>
      <c r="K56" s="279"/>
    </row>
    <row r="57" spans="1:11" ht="28.5" outlineLevel="1" x14ac:dyDescent="0.2">
      <c r="A57" s="298"/>
      <c r="B57" s="579"/>
      <c r="C57" s="582"/>
      <c r="D57" s="405" t="s">
        <v>128</v>
      </c>
      <c r="E57" s="351" t="s">
        <v>120</v>
      </c>
      <c r="F57" s="352">
        <v>0.5</v>
      </c>
      <c r="G57" s="338" t="s">
        <v>230</v>
      </c>
      <c r="I57" s="277" t="str">
        <f t="shared" si="8"/>
        <v>Disposal of wastewater and drilling muds</v>
      </c>
      <c r="J57" s="278" t="str">
        <f t="shared" si="7"/>
        <v>Disposal of wastewater and drilling muds - 100-150g/L - HydrEra Facility</v>
      </c>
      <c r="K57" s="279"/>
    </row>
    <row r="58" spans="1:11" ht="28.5" outlineLevel="1" x14ac:dyDescent="0.2">
      <c r="A58" s="298"/>
      <c r="B58" s="580"/>
      <c r="C58" s="583"/>
      <c r="D58" s="404" t="s">
        <v>129</v>
      </c>
      <c r="E58" s="351" t="s">
        <v>120</v>
      </c>
      <c r="F58" s="352">
        <v>0.55000000000000004</v>
      </c>
      <c r="G58" s="338" t="s">
        <v>230</v>
      </c>
      <c r="I58" s="277" t="str">
        <f t="shared" si="8"/>
        <v>Disposal of wastewater and drilling muds</v>
      </c>
      <c r="J58" s="278" t="str">
        <f t="shared" si="7"/>
        <v>Disposal of wastewater and drilling muds - 150-200g/L - HydrEra Facility</v>
      </c>
      <c r="K58" s="279"/>
    </row>
    <row r="59" spans="1:11" ht="28.5" outlineLevel="1" x14ac:dyDescent="0.2">
      <c r="A59" s="298"/>
      <c r="B59" s="354" t="s">
        <v>130</v>
      </c>
      <c r="C59" s="355" t="s">
        <v>131</v>
      </c>
      <c r="D59" s="356" t="s">
        <v>70</v>
      </c>
      <c r="E59" s="357" t="s">
        <v>82</v>
      </c>
      <c r="F59" s="252">
        <v>9576</v>
      </c>
      <c r="G59" s="338" t="s">
        <v>270</v>
      </c>
      <c r="I59" s="277" t="str">
        <f t="shared" si="8"/>
        <v>Liners</v>
      </c>
      <c r="J59" s="278" t="str">
        <f t="shared" si="7"/>
        <v>Liners</v>
      </c>
      <c r="K59" s="279">
        <v>1</v>
      </c>
    </row>
    <row r="60" spans="1:11" ht="39" outlineLevel="1" thickBot="1" x14ac:dyDescent="0.25">
      <c r="A60" s="298"/>
      <c r="B60" s="358" t="s">
        <v>132</v>
      </c>
      <c r="C60" s="359" t="s">
        <v>87</v>
      </c>
      <c r="D60" s="360" t="s">
        <v>70</v>
      </c>
      <c r="E60" s="361" t="s">
        <v>133</v>
      </c>
      <c r="F60" s="33">
        <v>240</v>
      </c>
      <c r="G60" s="362" t="s">
        <v>271</v>
      </c>
      <c r="I60" s="277" t="str">
        <f t="shared" si="8"/>
        <v>Well pad materials</v>
      </c>
      <c r="J60" s="278" t="str">
        <f t="shared" si="7"/>
        <v>Well pad materials</v>
      </c>
      <c r="K60" s="279">
        <v>1</v>
      </c>
    </row>
    <row r="61" spans="1:11" ht="15" thickBot="1" x14ac:dyDescent="0.25">
      <c r="A61" s="298"/>
      <c r="B61" s="299"/>
      <c r="C61" s="300"/>
      <c r="D61" s="300"/>
      <c r="E61" s="299"/>
      <c r="F61" s="299"/>
      <c r="G61" s="301"/>
      <c r="I61" s="11"/>
      <c r="J61" s="11"/>
      <c r="K61" s="11"/>
    </row>
    <row r="62" spans="1:11" x14ac:dyDescent="0.2">
      <c r="A62" s="298"/>
      <c r="B62" s="363" t="s">
        <v>313</v>
      </c>
      <c r="C62" s="364"/>
      <c r="D62" s="329"/>
      <c r="E62" s="343"/>
      <c r="F62" s="321"/>
      <c r="G62" s="365"/>
      <c r="H62" s="288"/>
      <c r="I62" s="289"/>
      <c r="J62" s="289" t="s">
        <v>134</v>
      </c>
      <c r="K62" s="290">
        <f>COUNTA(J10:J10,J12:J26,J28:J43,J45:J60)</f>
        <v>48</v>
      </c>
    </row>
    <row r="63" spans="1:11" ht="25.5" outlineLevel="1" x14ac:dyDescent="0.2">
      <c r="A63" s="366"/>
      <c r="B63" s="367" t="s">
        <v>135</v>
      </c>
      <c r="C63" s="368"/>
      <c r="D63" s="369"/>
      <c r="E63" s="315" t="s">
        <v>332</v>
      </c>
      <c r="F63" s="252">
        <v>12075</v>
      </c>
      <c r="G63" s="370" t="s">
        <v>251</v>
      </c>
      <c r="H63" s="456"/>
      <c r="I63" s="457"/>
      <c r="J63" s="11"/>
      <c r="K63" s="11"/>
    </row>
    <row r="64" spans="1:11" ht="25.5" outlineLevel="1" x14ac:dyDescent="0.2">
      <c r="A64" s="298"/>
      <c r="B64" s="371" t="s">
        <v>137</v>
      </c>
      <c r="C64" s="372"/>
      <c r="D64" s="373"/>
      <c r="E64" s="502" t="s">
        <v>332</v>
      </c>
      <c r="F64" s="252">
        <v>16075</v>
      </c>
      <c r="G64" s="316" t="s">
        <v>329</v>
      </c>
      <c r="I64" s="11"/>
      <c r="J64" s="11"/>
      <c r="K64" s="11"/>
    </row>
    <row r="65" spans="1:25" ht="25.5" outlineLevel="1" x14ac:dyDescent="0.2">
      <c r="A65" s="298"/>
      <c r="B65" s="371" t="s">
        <v>138</v>
      </c>
      <c r="C65" s="372"/>
      <c r="D65" s="373"/>
      <c r="E65" s="502" t="s">
        <v>332</v>
      </c>
      <c r="F65" s="252">
        <v>32150</v>
      </c>
      <c r="G65" s="317" t="s">
        <v>330</v>
      </c>
      <c r="I65" s="11"/>
      <c r="J65" s="11"/>
      <c r="K65" s="11"/>
    </row>
    <row r="66" spans="1:25" ht="26.25" outlineLevel="1" thickBot="1" x14ac:dyDescent="0.25">
      <c r="A66" s="298"/>
      <c r="B66" s="374" t="s">
        <v>139</v>
      </c>
      <c r="C66" s="375"/>
      <c r="D66" s="376"/>
      <c r="E66" s="502" t="s">
        <v>332</v>
      </c>
      <c r="F66" s="252">
        <v>54300</v>
      </c>
      <c r="G66" s="377" t="s">
        <v>331</v>
      </c>
      <c r="I66" s="11"/>
      <c r="K66" s="11"/>
    </row>
    <row r="67" spans="1:25" x14ac:dyDescent="0.2">
      <c r="A67" s="298"/>
      <c r="B67" s="299"/>
      <c r="C67" s="300"/>
      <c r="D67" s="300"/>
      <c r="E67" s="299"/>
      <c r="F67" s="299"/>
      <c r="G67" s="301"/>
      <c r="I67" s="11"/>
      <c r="K67" s="11"/>
    </row>
    <row r="68" spans="1:25" s="181" customFormat="1" ht="18" x14ac:dyDescent="0.2">
      <c r="A68" s="298"/>
      <c r="B68" s="378" t="s">
        <v>6</v>
      </c>
      <c r="C68" s="379"/>
      <c r="D68" s="379"/>
      <c r="E68" s="380"/>
      <c r="F68" s="380"/>
      <c r="G68" s="381"/>
      <c r="H68" s="3"/>
      <c r="I68" s="292"/>
      <c r="J68" s="292"/>
      <c r="K68" s="293"/>
      <c r="L68" s="291"/>
      <c r="M68" s="291"/>
      <c r="N68" s="291"/>
      <c r="O68" s="291"/>
      <c r="P68" s="291"/>
      <c r="Q68" s="291"/>
      <c r="R68" s="292"/>
      <c r="S68" s="292"/>
      <c r="T68" s="292"/>
      <c r="U68" s="11"/>
      <c r="V68" s="11"/>
      <c r="W68" s="11"/>
      <c r="X68" s="11"/>
      <c r="Y68" s="11"/>
    </row>
  </sheetData>
  <sheetProtection algorithmName="SHA-512" hashValue="do4jRoPDRAx57fNp6pXYeGHpkwv7hsrzHxrJKzGaSO+NsyFDvgz4XMqwfeWgEPCXo7F4gpMcd5+tzcrxP93KRg==" saltValue="pwqDKDl7sAVDy+QUIaYLLQ==" spinCount="100000" sheet="1" objects="1" scenarios="1"/>
  <mergeCells count="17">
    <mergeCell ref="C17:C20"/>
    <mergeCell ref="B17:B20"/>
    <mergeCell ref="E17:E20"/>
    <mergeCell ref="B4:G5"/>
    <mergeCell ref="E15:E16"/>
    <mergeCell ref="B15:B16"/>
    <mergeCell ref="C15:C16"/>
    <mergeCell ref="B49:B58"/>
    <mergeCell ref="C49:C58"/>
    <mergeCell ref="C37:C41"/>
    <mergeCell ref="B37:B41"/>
    <mergeCell ref="E23:E24"/>
    <mergeCell ref="E25:E26"/>
    <mergeCell ref="B23:B24"/>
    <mergeCell ref="C23:C24"/>
    <mergeCell ref="B25:B26"/>
    <mergeCell ref="C25:C26"/>
  </mergeCells>
  <pageMargins left="0.25" right="0.25" top="0.75" bottom="0.75" header="0.3" footer="0.3"/>
  <pageSetup paperSize="8"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
  <sheetViews>
    <sheetView workbookViewId="0">
      <selection activeCell="B1" sqref="B1"/>
    </sheetView>
  </sheetViews>
  <sheetFormatPr defaultColWidth="0" defaultRowHeight="15" zeroHeight="1" x14ac:dyDescent="0.25"/>
  <cols>
    <col min="1" max="7" width="9.42578125" style="122" customWidth="1"/>
    <col min="8" max="16384" width="9.42578125" style="122" hidden="1"/>
  </cols>
  <sheetData>
    <row r="1" spans="1:7" x14ac:dyDescent="0.25">
      <c r="A1" s="121"/>
      <c r="B1" s="121"/>
      <c r="C1" s="121"/>
      <c r="D1" s="121"/>
      <c r="E1" s="121"/>
      <c r="F1" s="121"/>
      <c r="G1" s="121"/>
    </row>
    <row r="2" spans="1:7" x14ac:dyDescent="0.25">
      <c r="A2" s="121"/>
      <c r="B2" s="123" t="s">
        <v>140</v>
      </c>
      <c r="C2" s="121"/>
      <c r="D2" s="121"/>
      <c r="E2" s="121"/>
      <c r="F2" s="121"/>
      <c r="G2" s="121"/>
    </row>
    <row r="3" spans="1:7" x14ac:dyDescent="0.25">
      <c r="A3" s="121"/>
      <c r="B3" s="121"/>
      <c r="C3" s="121"/>
      <c r="D3" s="121"/>
      <c r="E3" s="121"/>
      <c r="F3" s="121"/>
      <c r="G3" s="121"/>
    </row>
  </sheetData>
  <sheetProtection algorithmName="SHA-512" hashValue="l6sp8ClcHn6mQgzp1qFW+HKW7s3ohzhDhmQtCs/u9KktlmoeAAzOJJYccsKV2aTogjTW5eajwFARHh2ZyRPrnw==" saltValue="c3rUTETPH+p8n4DvUwfqUQ==" spinCount="100000"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S225"/>
  <sheetViews>
    <sheetView zoomScaleNormal="100" workbookViewId="0">
      <selection activeCell="F207" sqref="F207"/>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143"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Title_01</v>
      </c>
      <c r="C1" s="140"/>
      <c r="K1" s="142"/>
      <c r="L1" s="140"/>
      <c r="M1" s="140"/>
      <c r="N1" s="140"/>
      <c r="O1" s="140"/>
      <c r="P1" s="140"/>
      <c r="Q1" s="140"/>
    </row>
    <row r="2" spans="1:45" x14ac:dyDescent="0.2">
      <c r="B2" s="5"/>
      <c r="J2" s="14"/>
      <c r="K2" s="455"/>
    </row>
    <row r="3" spans="1:45" s="78" customFormat="1" ht="18" x14ac:dyDescent="0.25">
      <c r="A3" s="77"/>
      <c r="B3" s="660" t="s">
        <v>7</v>
      </c>
      <c r="C3" s="661"/>
      <c r="D3" s="661"/>
      <c r="E3" s="661"/>
      <c r="F3" s="661"/>
      <c r="G3" s="661"/>
      <c r="H3" s="14"/>
      <c r="I3" s="207" t="str">
        <f ca="1">"Table "&amp;$N$9&amp;".1 General Title details"</f>
        <v>Table 1.1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1</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143"/>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1.2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148"/>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131" t="s">
        <v>52</v>
      </c>
      <c r="C24" s="132" t="s">
        <v>54</v>
      </c>
      <c r="D24" s="37" t="s">
        <v>55</v>
      </c>
      <c r="E24" s="37"/>
      <c r="F24" s="23" t="s">
        <v>17</v>
      </c>
      <c r="G24" s="23" t="s">
        <v>150</v>
      </c>
      <c r="H24" s="23" t="s">
        <v>19</v>
      </c>
      <c r="I24" s="23" t="s">
        <v>20</v>
      </c>
      <c r="J24" s="23" t="s">
        <v>21</v>
      </c>
      <c r="K24" s="132" t="s">
        <v>2</v>
      </c>
      <c r="L24" s="133" t="s">
        <v>151</v>
      </c>
      <c r="M24" s="155"/>
      <c r="N24" s="36"/>
      <c r="O24" s="36"/>
      <c r="P24" s="36"/>
      <c r="Q24" s="36"/>
    </row>
    <row r="25" spans="1:45" s="156" customFormat="1" ht="18.75" thickBot="1" x14ac:dyDescent="0.3">
      <c r="A25" s="77"/>
      <c r="B25" s="211" t="str">
        <f ca="1">"Table "&amp;$N$9&amp;".2.1 Rehabilitation activities"</f>
        <v>Table 1.2.1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N41" si="0">IF(B26="",N25,B26)</f>
        <v>Seismic lines</v>
      </c>
      <c r="O26" s="213" t="str">
        <f>IF(C26="",O8,C26)</f>
        <v>-</v>
      </c>
      <c r="P26" s="213" t="str">
        <f t="shared" ref="P26:P67" si="1">IF(Q26=1,IF(O26&lt;&gt;"-",N26&amp;" - "&amp;O26,N26),"")</f>
        <v/>
      </c>
      <c r="Q26" s="214"/>
      <c r="R26" s="215" t="str">
        <f t="shared" ref="R26:R33"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ref="O27:O74" si="3">IF(C27="",O26,C27)</f>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3"/>
        <v>-</v>
      </c>
      <c r="P28" s="213" t="str">
        <f t="shared" si="1"/>
        <v>Seismic lines</v>
      </c>
      <c r="Q28" s="214">
        <v>1</v>
      </c>
      <c r="R28" s="215" t="str">
        <f t="shared" si="2"/>
        <v>ha</v>
      </c>
    </row>
    <row r="29" spans="1:45" s="14" customFormat="1" ht="28.5" outlineLevel="1" x14ac:dyDescent="0.2">
      <c r="A29" s="4"/>
      <c r="B29" s="451" t="s">
        <v>277</v>
      </c>
      <c r="C29" s="407"/>
      <c r="D29" s="49" t="s">
        <v>103</v>
      </c>
      <c r="E29" s="50" t="s">
        <v>136</v>
      </c>
      <c r="F29" s="222">
        <v>0</v>
      </c>
      <c r="G29" s="222">
        <v>0</v>
      </c>
      <c r="H29" s="222">
        <v>0</v>
      </c>
      <c r="I29" s="222">
        <v>0</v>
      </c>
      <c r="J29" s="222">
        <v>0</v>
      </c>
      <c r="K29" s="473" t="s">
        <v>301</v>
      </c>
      <c r="L29" s="472"/>
      <c r="M29" s="4"/>
      <c r="N29" s="216" t="str">
        <f t="shared" ref="N29:N31" si="4">IF(B29="",N28,B29)</f>
        <v>Flowline right of ways - By track</v>
      </c>
      <c r="O29" s="213" t="str">
        <f t="shared" ref="O29:O31" si="5">IF(C29="",O28,C29)</f>
        <v>-</v>
      </c>
      <c r="P29" s="213" t="str">
        <f t="shared" ref="P29:P30" si="6">IF(Q29=1,IF(O29&lt;&gt;"-",N29&amp;" - "&amp;O29,N29),"")</f>
        <v>Flowline right of ways - By track</v>
      </c>
      <c r="Q29" s="214">
        <v>1</v>
      </c>
      <c r="R29" s="215" t="str">
        <f t="shared" ref="R29:R30" si="7">E29</f>
        <v>km</v>
      </c>
    </row>
    <row r="30" spans="1:45" s="14" customFormat="1" ht="28.5" outlineLevel="1" x14ac:dyDescent="0.2">
      <c r="A30" s="4"/>
      <c r="B30" s="451" t="s">
        <v>278</v>
      </c>
      <c r="C30" s="407"/>
      <c r="D30" s="49" t="s">
        <v>103</v>
      </c>
      <c r="E30" s="50" t="s">
        <v>136</v>
      </c>
      <c r="F30" s="222">
        <v>0</v>
      </c>
      <c r="G30" s="222">
        <v>0</v>
      </c>
      <c r="H30" s="222">
        <v>0</v>
      </c>
      <c r="I30" s="222">
        <v>0</v>
      </c>
      <c r="J30" s="222">
        <v>0</v>
      </c>
      <c r="K30" s="473" t="s">
        <v>301</v>
      </c>
      <c r="L30" s="472"/>
      <c r="M30" s="4"/>
      <c r="N30" s="216" t="str">
        <f t="shared" si="4"/>
        <v>Flowline right of ways - Not by track</v>
      </c>
      <c r="O30" s="213" t="str">
        <f t="shared" si="5"/>
        <v>-</v>
      </c>
      <c r="P30" s="213" t="str">
        <f t="shared" si="6"/>
        <v>Flowline right of ways - Not by track</v>
      </c>
      <c r="Q30" s="214">
        <v>1</v>
      </c>
      <c r="R30" s="215" t="str">
        <f t="shared" si="7"/>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4"/>
        <v>Access track (existing)</v>
      </c>
      <c r="O31" s="213" t="str">
        <f t="shared" si="5"/>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3"/>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3"/>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3"/>
        <v>No seeding</v>
      </c>
      <c r="P34" s="213" t="str">
        <f t="shared" si="1"/>
        <v/>
      </c>
      <c r="Q34" s="214"/>
      <c r="R34" s="215" t="str">
        <f t="shared" ref="R34:R67" si="8">E34</f>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3"/>
        <v>No seeding</v>
      </c>
      <c r="P35" s="213" t="str">
        <f t="shared" si="1"/>
        <v/>
      </c>
      <c r="Q35" s="214"/>
      <c r="R35" s="215" t="str">
        <f t="shared" si="8"/>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3"/>
        <v>No seeding</v>
      </c>
      <c r="P36" s="213" t="str">
        <f t="shared" si="1"/>
        <v>Access track (new) - No seeding</v>
      </c>
      <c r="Q36" s="214">
        <v>1</v>
      </c>
      <c r="R36" s="215" t="str">
        <f t="shared" si="8"/>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3"/>
        <v>With seeding</v>
      </c>
      <c r="P37" s="213" t="str">
        <f t="shared" si="1"/>
        <v/>
      </c>
      <c r="Q37" s="214"/>
      <c r="R37" s="215" t="str">
        <f t="shared" si="8"/>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3"/>
        <v>With seeding</v>
      </c>
      <c r="P38" s="213" t="str">
        <f t="shared" si="1"/>
        <v/>
      </c>
      <c r="Q38" s="214"/>
      <c r="R38" s="215" t="str">
        <f t="shared" si="8"/>
        <v>m</v>
      </c>
    </row>
    <row r="39" spans="1:18" s="14" customFormat="1" outlineLevel="1" x14ac:dyDescent="0.2">
      <c r="A39" s="4"/>
      <c r="B39" s="653"/>
      <c r="C39" s="641"/>
      <c r="D39" s="49" t="s">
        <v>155</v>
      </c>
      <c r="E39" s="50" t="s">
        <v>64</v>
      </c>
      <c r="F39" s="221">
        <f t="shared" ref="F39" si="9">((F37*1000)*F38)/10000</f>
        <v>0</v>
      </c>
      <c r="G39" s="221">
        <f t="shared" ref="G39:J39" si="10">((G37*1000)*G38)/10000</f>
        <v>0</v>
      </c>
      <c r="H39" s="221">
        <f t="shared" si="10"/>
        <v>0</v>
      </c>
      <c r="I39" s="221">
        <f t="shared" si="10"/>
        <v>0</v>
      </c>
      <c r="J39" s="221">
        <f t="shared" si="10"/>
        <v>0</v>
      </c>
      <c r="K39" s="611"/>
      <c r="L39" s="610"/>
      <c r="M39" s="4"/>
      <c r="N39" s="216" t="str">
        <f t="shared" si="0"/>
        <v>Access track (new)</v>
      </c>
      <c r="O39" s="213" t="str">
        <f t="shared" si="3"/>
        <v>With seeding</v>
      </c>
      <c r="P39" s="213" t="str">
        <f t="shared" si="1"/>
        <v>Access track (new) - With seeding</v>
      </c>
      <c r="Q39" s="214">
        <v>1</v>
      </c>
      <c r="R39" s="215" t="str">
        <f t="shared" si="8"/>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ref="O40:O50" si="11">IF(C40="",O39,C40)</f>
        <v>With seeding, with ripping</v>
      </c>
      <c r="P40" s="213" t="str">
        <f t="shared" ref="P40:P50" si="12">IF(Q40=1,IF(O40&lt;&gt;"-",N40&amp;" - "&amp;O40,N40),"")</f>
        <v/>
      </c>
      <c r="Q40" s="214"/>
      <c r="R40" s="215" t="str">
        <f t="shared" si="8"/>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11"/>
        <v>With seeding, with ripping</v>
      </c>
      <c r="P41" s="213" t="str">
        <f t="shared" si="12"/>
        <v/>
      </c>
      <c r="Q41" s="214"/>
      <c r="R41" s="215" t="str">
        <f t="shared" si="8"/>
        <v>m</v>
      </c>
    </row>
    <row r="42" spans="1:18" s="14" customFormat="1" outlineLevel="1" x14ac:dyDescent="0.2">
      <c r="A42" s="4"/>
      <c r="B42" s="645"/>
      <c r="C42" s="648"/>
      <c r="D42" s="49" t="s">
        <v>155</v>
      </c>
      <c r="E42" s="50" t="s">
        <v>64</v>
      </c>
      <c r="F42" s="221">
        <f>(F40*F41)/10^4</f>
        <v>0</v>
      </c>
      <c r="G42" s="221">
        <f t="shared" ref="G42:J42" si="13">(G40*G41)/10^4</f>
        <v>0</v>
      </c>
      <c r="H42" s="221">
        <f t="shared" si="13"/>
        <v>0</v>
      </c>
      <c r="I42" s="221">
        <f t="shared" si="13"/>
        <v>0</v>
      </c>
      <c r="J42" s="221">
        <f t="shared" si="13"/>
        <v>0</v>
      </c>
      <c r="K42" s="617"/>
      <c r="L42" s="614"/>
      <c r="M42" s="4"/>
      <c r="N42" s="216" t="str">
        <f t="shared" ref="N42:N66" si="14">IF(B42="",N41,B42)</f>
        <v>Laydown areas</v>
      </c>
      <c r="O42" s="213" t="str">
        <f t="shared" si="11"/>
        <v>With seeding, with ripping</v>
      </c>
      <c r="P42" s="213" t="str">
        <f t="shared" si="12"/>
        <v>Laydown areas - With seeding, with ripping</v>
      </c>
      <c r="Q42" s="214">
        <v>1</v>
      </c>
      <c r="R42" s="215" t="str">
        <f t="shared" si="8"/>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14"/>
        <v>Laydown areas</v>
      </c>
      <c r="O43" s="213" t="str">
        <f t="shared" si="11"/>
        <v>With seeding, no ripping</v>
      </c>
      <c r="P43" s="213" t="str">
        <f t="shared" si="12"/>
        <v/>
      </c>
      <c r="Q43" s="214"/>
      <c r="R43" s="215" t="str">
        <f t="shared" si="8"/>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14"/>
        <v>Laydown areas</v>
      </c>
      <c r="O44" s="213" t="str">
        <f t="shared" si="11"/>
        <v>With seeding, no ripping</v>
      </c>
      <c r="P44" s="213" t="str">
        <f t="shared" si="12"/>
        <v/>
      </c>
      <c r="Q44" s="214"/>
      <c r="R44" s="215" t="str">
        <f t="shared" si="8"/>
        <v>m</v>
      </c>
    </row>
    <row r="45" spans="1:18" s="14" customFormat="1" outlineLevel="1" x14ac:dyDescent="0.2">
      <c r="A45" s="4"/>
      <c r="B45" s="645"/>
      <c r="C45" s="648"/>
      <c r="D45" s="49" t="s">
        <v>155</v>
      </c>
      <c r="E45" s="50" t="s">
        <v>64</v>
      </c>
      <c r="F45" s="221">
        <f>(F43*F44)/10^4</f>
        <v>0</v>
      </c>
      <c r="G45" s="221">
        <f t="shared" ref="G45" si="15">(G43*G44)/10^4</f>
        <v>0</v>
      </c>
      <c r="H45" s="221">
        <f t="shared" ref="H45" si="16">(H43*H44)/10^4</f>
        <v>0</v>
      </c>
      <c r="I45" s="221">
        <f t="shared" ref="I45" si="17">(I43*I44)/10^4</f>
        <v>0</v>
      </c>
      <c r="J45" s="221">
        <f t="shared" ref="J45" si="18">(J43*J44)/10^4</f>
        <v>0</v>
      </c>
      <c r="K45" s="617"/>
      <c r="L45" s="614"/>
      <c r="M45" s="4"/>
      <c r="N45" s="216" t="str">
        <f t="shared" si="14"/>
        <v>Laydown areas</v>
      </c>
      <c r="O45" s="213" t="str">
        <f t="shared" si="11"/>
        <v>With seeding, no ripping</v>
      </c>
      <c r="P45" s="213" t="str">
        <f t="shared" si="12"/>
        <v>Laydown areas - With seeding, no ripping</v>
      </c>
      <c r="Q45" s="214">
        <v>1</v>
      </c>
      <c r="R45" s="215" t="str">
        <f t="shared" si="8"/>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14"/>
        <v>Laydown areas</v>
      </c>
      <c r="O46" s="213" t="str">
        <f t="shared" si="11"/>
        <v>No seeding, with ripping</v>
      </c>
      <c r="P46" s="213" t="str">
        <f t="shared" si="12"/>
        <v/>
      </c>
      <c r="Q46" s="214"/>
      <c r="R46" s="215" t="str">
        <f t="shared" si="8"/>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14"/>
        <v>Laydown areas</v>
      </c>
      <c r="O47" s="213" t="str">
        <f t="shared" si="11"/>
        <v>No seeding, with ripping</v>
      </c>
      <c r="P47" s="213" t="str">
        <f t="shared" si="12"/>
        <v/>
      </c>
      <c r="Q47" s="214"/>
      <c r="R47" s="215" t="str">
        <f t="shared" si="8"/>
        <v>m</v>
      </c>
    </row>
    <row r="48" spans="1:18" s="14" customFormat="1" outlineLevel="1" x14ac:dyDescent="0.2">
      <c r="A48" s="4"/>
      <c r="B48" s="645"/>
      <c r="C48" s="648"/>
      <c r="D48" s="49" t="s">
        <v>155</v>
      </c>
      <c r="E48" s="50" t="s">
        <v>64</v>
      </c>
      <c r="F48" s="221">
        <f>(F46*F47)/10^4</f>
        <v>0</v>
      </c>
      <c r="G48" s="221">
        <f t="shared" ref="G48" si="19">(G46*G47)/10^4</f>
        <v>0</v>
      </c>
      <c r="H48" s="221">
        <f t="shared" ref="H48" si="20">(H46*H47)/10^4</f>
        <v>0</v>
      </c>
      <c r="I48" s="221">
        <f t="shared" ref="I48" si="21">(I46*I47)/10^4</f>
        <v>0</v>
      </c>
      <c r="J48" s="221">
        <f t="shared" ref="J48" si="22">(J46*J47)/10^4</f>
        <v>0</v>
      </c>
      <c r="K48" s="617"/>
      <c r="L48" s="614"/>
      <c r="M48" s="4"/>
      <c r="N48" s="216" t="str">
        <f t="shared" si="14"/>
        <v>Laydown areas</v>
      </c>
      <c r="O48" s="213" t="str">
        <f t="shared" si="11"/>
        <v>No seeding, with ripping</v>
      </c>
      <c r="P48" s="213" t="str">
        <f t="shared" si="12"/>
        <v>Laydown areas - No seeding, with ripping</v>
      </c>
      <c r="Q48" s="214">
        <v>1</v>
      </c>
      <c r="R48" s="215" t="str">
        <f t="shared" si="8"/>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14"/>
        <v>Laydown areas</v>
      </c>
      <c r="O49" s="213" t="str">
        <f t="shared" si="11"/>
        <v>No seeding, no ripping</v>
      </c>
      <c r="P49" s="213" t="str">
        <f t="shared" si="12"/>
        <v/>
      </c>
      <c r="Q49" s="214"/>
      <c r="R49" s="215" t="str">
        <f t="shared" si="8"/>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14"/>
        <v>Laydown areas</v>
      </c>
      <c r="O50" s="213" t="str">
        <f t="shared" si="11"/>
        <v>No seeding, no ripping</v>
      </c>
      <c r="P50" s="213" t="str">
        <f t="shared" si="12"/>
        <v/>
      </c>
      <c r="Q50" s="214"/>
      <c r="R50" s="215" t="str">
        <f t="shared" si="8"/>
        <v>m</v>
      </c>
    </row>
    <row r="51" spans="1:18" s="14" customFormat="1" outlineLevel="1" x14ac:dyDescent="0.2">
      <c r="A51" s="4"/>
      <c r="B51" s="645"/>
      <c r="C51" s="648"/>
      <c r="D51" s="49" t="s">
        <v>155</v>
      </c>
      <c r="E51" s="50" t="s">
        <v>64</v>
      </c>
      <c r="F51" s="221">
        <f>(F49*F50)/10^4</f>
        <v>0</v>
      </c>
      <c r="G51" s="221">
        <f t="shared" ref="G51" si="23">(G49*G50)/10^4</f>
        <v>0</v>
      </c>
      <c r="H51" s="221">
        <f t="shared" ref="H51" si="24">(H49*H50)/10^4</f>
        <v>0</v>
      </c>
      <c r="I51" s="221">
        <f t="shared" ref="I51" si="25">(I49*I50)/10^4</f>
        <v>0</v>
      </c>
      <c r="J51" s="221">
        <f t="shared" ref="J51" si="26">(J49*J50)/10^4</f>
        <v>0</v>
      </c>
      <c r="K51" s="617"/>
      <c r="L51" s="614"/>
      <c r="M51" s="4"/>
      <c r="N51" s="216" t="str">
        <f t="shared" si="14"/>
        <v>Laydown areas</v>
      </c>
      <c r="O51" s="213" t="str">
        <f t="shared" ref="O51:O52" si="27">IF(C51="",O50,C51)</f>
        <v>No seeding, no ripping</v>
      </c>
      <c r="P51" s="213" t="str">
        <f t="shared" ref="P51" si="28">IF(Q51=1,IF(O51&lt;&gt;"-",N51&amp;" - "&amp;O51,N51),"")</f>
        <v>Laydown areas - No seeding, no ripping</v>
      </c>
      <c r="Q51" s="214">
        <v>1</v>
      </c>
      <c r="R51" s="215" t="str">
        <f t="shared" si="8"/>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14"/>
        <v>Gravel pits</v>
      </c>
      <c r="O52" s="213" t="str">
        <f t="shared" si="27"/>
        <v>-</v>
      </c>
      <c r="P52" s="213" t="str">
        <f t="shared" si="1"/>
        <v/>
      </c>
      <c r="Q52" s="214"/>
      <c r="R52" s="215" t="str">
        <f t="shared" si="8"/>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14"/>
        <v>Gravel pits</v>
      </c>
      <c r="O53" s="213" t="str">
        <f t="shared" si="3"/>
        <v>-</v>
      </c>
      <c r="P53" s="213" t="str">
        <f t="shared" si="1"/>
        <v/>
      </c>
      <c r="Q53" s="214"/>
      <c r="R53" s="215" t="str">
        <f t="shared" si="8"/>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14"/>
        <v>Gravel pits</v>
      </c>
      <c r="O54" s="213" t="str">
        <f t="shared" si="3"/>
        <v>-</v>
      </c>
      <c r="P54" s="213" t="str">
        <f t="shared" si="1"/>
        <v/>
      </c>
      <c r="Q54" s="214"/>
      <c r="R54" s="215" t="str">
        <f t="shared" si="8"/>
        <v>m</v>
      </c>
    </row>
    <row r="55" spans="1:18" s="14" customFormat="1" outlineLevel="1" x14ac:dyDescent="0.2">
      <c r="A55" s="4"/>
      <c r="B55" s="653"/>
      <c r="C55" s="641"/>
      <c r="D55" s="49" t="s">
        <v>73</v>
      </c>
      <c r="E55" s="50" t="s">
        <v>64</v>
      </c>
      <c r="F55" s="221">
        <f>(F53*F54*F52)/10^4</f>
        <v>0</v>
      </c>
      <c r="G55" s="221">
        <f t="shared" ref="G55" si="29">(G53*G54*G52)/10^4</f>
        <v>0</v>
      </c>
      <c r="H55" s="221">
        <f t="shared" ref="H55" si="30">(H53*H54*H52)/10^4</f>
        <v>0</v>
      </c>
      <c r="I55" s="221">
        <f t="shared" ref="I55" si="31">(I53*I54*I52)/10^4</f>
        <v>0</v>
      </c>
      <c r="J55" s="221">
        <f t="shared" ref="J55" si="32">(J53*J54*J52)/10^4</f>
        <v>0</v>
      </c>
      <c r="K55" s="611"/>
      <c r="L55" s="610"/>
      <c r="M55" s="4"/>
      <c r="N55" s="216" t="str">
        <f t="shared" ref="N55" si="33">IF(B55="",N54,B55)</f>
        <v>Gravel pits</v>
      </c>
      <c r="O55" s="213" t="str">
        <f t="shared" ref="O55" si="34">IF(C55="",O54,C55)</f>
        <v>-</v>
      </c>
      <c r="P55" s="213" t="str">
        <f t="shared" ref="P55" si="35">IF(Q55=1,IF(O55&lt;&gt;"-",N55&amp;" - "&amp;O55,N55),"")</f>
        <v>Gravel pits</v>
      </c>
      <c r="Q55" s="214">
        <v>1</v>
      </c>
      <c r="R55" s="215" t="str">
        <f t="shared" ref="R55" si="36">E55</f>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14"/>
        <v>Well pad</v>
      </c>
      <c r="O56" s="213" t="str">
        <f t="shared" si="3"/>
        <v>-</v>
      </c>
      <c r="P56" s="213" t="str">
        <f t="shared" si="1"/>
        <v/>
      </c>
      <c r="Q56" s="214"/>
      <c r="R56" s="215" t="str">
        <f t="shared" si="8"/>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14"/>
        <v>Well pad</v>
      </c>
      <c r="O57" s="213" t="str">
        <f t="shared" si="3"/>
        <v>-</v>
      </c>
      <c r="P57" s="213" t="str">
        <f t="shared" si="1"/>
        <v/>
      </c>
      <c r="Q57" s="214"/>
      <c r="R57" s="215" t="str">
        <f t="shared" si="8"/>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si="14"/>
        <v>Well pad</v>
      </c>
      <c r="O58" s="213" t="str">
        <f t="shared" si="3"/>
        <v>-</v>
      </c>
      <c r="P58" s="213" t="str">
        <f t="shared" si="1"/>
        <v/>
      </c>
      <c r="Q58" s="214"/>
      <c r="R58" s="215" t="str">
        <f t="shared" si="8"/>
        <v>m</v>
      </c>
    </row>
    <row r="59" spans="1:18" s="14" customFormat="1" outlineLevel="1" x14ac:dyDescent="0.2">
      <c r="A59" s="4"/>
      <c r="B59" s="653"/>
      <c r="C59" s="641"/>
      <c r="D59" s="49" t="s">
        <v>73</v>
      </c>
      <c r="E59" s="50" t="s">
        <v>64</v>
      </c>
      <c r="F59" s="221">
        <f>(F57*F58*F56)/10^4</f>
        <v>0</v>
      </c>
      <c r="G59" s="221">
        <f t="shared" ref="G59:J59" si="37">(G57*G58*G56)/10^4</f>
        <v>0</v>
      </c>
      <c r="H59" s="221">
        <f t="shared" si="37"/>
        <v>0</v>
      </c>
      <c r="I59" s="221">
        <f t="shared" si="37"/>
        <v>0</v>
      </c>
      <c r="J59" s="221">
        <f t="shared" si="37"/>
        <v>0</v>
      </c>
      <c r="K59" s="611"/>
      <c r="L59" s="610"/>
      <c r="M59" s="4"/>
      <c r="N59" s="216" t="str">
        <f t="shared" si="14"/>
        <v>Well pad</v>
      </c>
      <c r="O59" s="213" t="str">
        <f>IF(C59="",O58,C59)</f>
        <v>-</v>
      </c>
      <c r="P59" s="213" t="str">
        <f t="shared" si="1"/>
        <v>Well pad</v>
      </c>
      <c r="Q59" s="214">
        <v>1</v>
      </c>
      <c r="R59" s="215" t="str">
        <f t="shared" si="8"/>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4"/>
        <v>Camp</v>
      </c>
      <c r="O60" s="213" t="str">
        <f t="shared" si="3"/>
        <v>With seeding</v>
      </c>
      <c r="P60" s="213" t="str">
        <f t="shared" si="1"/>
        <v/>
      </c>
      <c r="Q60" s="214"/>
      <c r="R60" s="215" t="str">
        <f t="shared" si="8"/>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4"/>
        <v>Camp</v>
      </c>
      <c r="O61" s="213" t="str">
        <f t="shared" si="3"/>
        <v>With seeding</v>
      </c>
      <c r="P61" s="213" t="str">
        <f t="shared" si="1"/>
        <v/>
      </c>
      <c r="Q61" s="214"/>
      <c r="R61" s="215" t="str">
        <f t="shared" si="8"/>
        <v>m</v>
      </c>
    </row>
    <row r="62" spans="1:18" s="14" customFormat="1" outlineLevel="1" x14ac:dyDescent="0.2">
      <c r="A62" s="4"/>
      <c r="B62" s="642"/>
      <c r="C62" s="651"/>
      <c r="D62" s="49" t="s">
        <v>73</v>
      </c>
      <c r="E62" s="50" t="s">
        <v>64</v>
      </c>
      <c r="F62" s="221">
        <f>(F60*F61)/10^4</f>
        <v>0</v>
      </c>
      <c r="G62" s="221">
        <f t="shared" ref="G62:J62" si="38">(G60*G61)/10^4</f>
        <v>0</v>
      </c>
      <c r="H62" s="221">
        <f t="shared" si="38"/>
        <v>0</v>
      </c>
      <c r="I62" s="221">
        <f t="shared" si="38"/>
        <v>0</v>
      </c>
      <c r="J62" s="221">
        <f t="shared" si="38"/>
        <v>0</v>
      </c>
      <c r="K62" s="618"/>
      <c r="L62" s="610"/>
      <c r="M62" s="4"/>
      <c r="N62" s="216" t="str">
        <f t="shared" si="14"/>
        <v>Camp</v>
      </c>
      <c r="O62" s="213" t="str">
        <f t="shared" si="3"/>
        <v>With seeding</v>
      </c>
      <c r="P62" s="213" t="str">
        <f t="shared" si="1"/>
        <v>Camp - With seeding</v>
      </c>
      <c r="Q62" s="214">
        <v>1</v>
      </c>
      <c r="R62" s="215" t="str">
        <f t="shared" si="8"/>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4"/>
        <v>Camp</v>
      </c>
      <c r="O63" s="213" t="str">
        <f t="shared" si="3"/>
        <v>No seeding</v>
      </c>
      <c r="P63" s="213" t="str">
        <f t="shared" si="1"/>
        <v/>
      </c>
      <c r="Q63" s="214"/>
      <c r="R63" s="215" t="str">
        <f t="shared" si="8"/>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4"/>
        <v>Camp</v>
      </c>
      <c r="O64" s="213" t="str">
        <f t="shared" si="3"/>
        <v>No seeding</v>
      </c>
      <c r="P64" s="213" t="str">
        <f t="shared" si="1"/>
        <v/>
      </c>
      <c r="Q64" s="214"/>
      <c r="R64" s="215" t="str">
        <f t="shared" si="8"/>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4"/>
        <v>Camp</v>
      </c>
      <c r="O65" s="213" t="str">
        <f t="shared" si="3"/>
        <v>No seeding</v>
      </c>
      <c r="P65" s="213" t="str">
        <f t="shared" si="1"/>
        <v>Camp - No seeding</v>
      </c>
      <c r="Q65" s="214">
        <v>1</v>
      </c>
      <c r="R65" s="215" t="str">
        <f t="shared" si="8"/>
        <v>ha</v>
      </c>
    </row>
    <row r="66" spans="1:24" s="14" customFormat="1" ht="28.5" outlineLevel="1" x14ac:dyDescent="0.2">
      <c r="A66" s="157"/>
      <c r="B66" s="410" t="s">
        <v>76</v>
      </c>
      <c r="C66" s="411" t="s">
        <v>234</v>
      </c>
      <c r="D66" s="49" t="s">
        <v>73</v>
      </c>
      <c r="E66" s="50" t="s">
        <v>64</v>
      </c>
      <c r="F66" s="51">
        <v>0</v>
      </c>
      <c r="G66" s="51">
        <v>0</v>
      </c>
      <c r="H66" s="51">
        <v>0</v>
      </c>
      <c r="I66" s="51">
        <v>0</v>
      </c>
      <c r="J66" s="51">
        <v>0</v>
      </c>
      <c r="K66" s="408" t="s">
        <v>159</v>
      </c>
      <c r="L66" s="57"/>
      <c r="M66" s="157"/>
      <c r="N66" s="216" t="str">
        <f t="shared" si="14"/>
        <v>Miscellaneous clearing</v>
      </c>
      <c r="O66" s="213" t="str">
        <f t="shared" si="3"/>
        <v>With seeding</v>
      </c>
      <c r="P66" s="213" t="str">
        <f t="shared" si="1"/>
        <v>Miscellaneous clearing - With seeding</v>
      </c>
      <c r="Q66" s="214">
        <v>1</v>
      </c>
      <c r="R66" s="215" t="str">
        <f t="shared" si="8"/>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ref="N67:N74" si="39">IF(B67="",N66,B67)</f>
        <v>Miscellaneous clearing</v>
      </c>
      <c r="O67" s="218" t="str">
        <f t="shared" si="3"/>
        <v>No seeding</v>
      </c>
      <c r="P67" s="218" t="str">
        <f t="shared" si="1"/>
        <v>Miscellaneous clearing - No seeding</v>
      </c>
      <c r="Q67" s="219">
        <v>1</v>
      </c>
      <c r="R67" s="220" t="str">
        <f t="shared" si="8"/>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1.2.2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 si="40">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ref="P71:P74" si="41">IF(Q71=1,IF(O71&lt;&gt;"-",N71&amp;" - "&amp;O71,N71),"")</f>
        <v/>
      </c>
      <c r="Q71" s="230"/>
      <c r="R71" s="231" t="str">
        <f>E71</f>
        <v>#</v>
      </c>
    </row>
    <row r="72" spans="1:24" s="159" customFormat="1" ht="28.5" outlineLevel="1" x14ac:dyDescent="0.2">
      <c r="A72" s="4"/>
      <c r="B72" s="134" t="s">
        <v>286</v>
      </c>
      <c r="C72" s="135" t="s">
        <v>70</v>
      </c>
      <c r="D72" s="64" t="s">
        <v>85</v>
      </c>
      <c r="E72" s="65" t="s">
        <v>82</v>
      </c>
      <c r="F72" s="385">
        <v>0</v>
      </c>
      <c r="G72" s="385">
        <v>0</v>
      </c>
      <c r="H72" s="385">
        <v>0</v>
      </c>
      <c r="I72" s="385">
        <v>0</v>
      </c>
      <c r="J72" s="385">
        <v>0</v>
      </c>
      <c r="K72" s="110" t="s">
        <v>161</v>
      </c>
      <c r="L72" s="57"/>
      <c r="M72" s="4"/>
      <c r="N72" s="212" t="str">
        <f t="shared" si="39"/>
        <v>Groundwater bore ≥ 70m TVD (retained)</v>
      </c>
      <c r="O72" s="419" t="str">
        <f t="shared" si="3"/>
        <v>-</v>
      </c>
      <c r="P72" s="419" t="str">
        <f t="shared" si="41"/>
        <v/>
      </c>
      <c r="Q72" s="420"/>
      <c r="R72" s="215" t="str">
        <f>E72</f>
        <v>#</v>
      </c>
    </row>
    <row r="73" spans="1:24" s="159" customFormat="1" ht="71.25" outlineLevel="1" x14ac:dyDescent="0.2">
      <c r="A73" s="4"/>
      <c r="B73" s="134" t="s">
        <v>285</v>
      </c>
      <c r="C73" s="135" t="s">
        <v>70</v>
      </c>
      <c r="D73" s="194" t="s">
        <v>162</v>
      </c>
      <c r="E73" s="67" t="s">
        <v>64</v>
      </c>
      <c r="F73" s="51">
        <v>0</v>
      </c>
      <c r="G73" s="51">
        <v>0</v>
      </c>
      <c r="H73" s="51">
        <v>0</v>
      </c>
      <c r="I73" s="51">
        <v>0</v>
      </c>
      <c r="J73" s="51">
        <v>0</v>
      </c>
      <c r="K73" s="110" t="s">
        <v>163</v>
      </c>
      <c r="L73" s="57"/>
      <c r="M73" s="4"/>
      <c r="N73" s="212" t="str">
        <f t="shared" si="39"/>
        <v>Access track (new or existing retained)</v>
      </c>
      <c r="O73" s="419" t="str">
        <f t="shared" si="3"/>
        <v>-</v>
      </c>
      <c r="P73" s="419" t="str">
        <f t="shared" si="41"/>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si="39"/>
        <v>Turkey's nest (retained)</v>
      </c>
      <c r="O74" s="218" t="str">
        <f t="shared" si="3"/>
        <v>-</v>
      </c>
      <c r="P74" s="218" t="str">
        <f t="shared" si="41"/>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1.2.3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N129" si="42">IF(B77="",N76,B77)</f>
        <v>Fencing</v>
      </c>
      <c r="O77" s="229" t="str">
        <f t="shared" ref="O77:O129" si="43">IF(C77="",O76,C77)</f>
        <v>-</v>
      </c>
      <c r="P77" s="229" t="str">
        <f>IF(Q77=1,IF(O77&lt;&gt;"-",N77&amp;" - "&amp;O77,N77),"")</f>
        <v>Fencing</v>
      </c>
      <c r="Q77" s="232">
        <v>1</v>
      </c>
      <c r="R77" s="231" t="str">
        <f t="shared" ref="R77:R101" si="44">E77</f>
        <v>m</v>
      </c>
    </row>
    <row r="78" spans="1:24" s="14" customFormat="1" ht="28.5" outlineLevel="1" x14ac:dyDescent="0.2">
      <c r="A78" s="4"/>
      <c r="B78" s="134" t="s">
        <v>80</v>
      </c>
      <c r="C78" s="135" t="s">
        <v>70</v>
      </c>
      <c r="D78" s="64" t="s">
        <v>85</v>
      </c>
      <c r="E78" s="65" t="s">
        <v>82</v>
      </c>
      <c r="F78" s="51">
        <v>0</v>
      </c>
      <c r="G78" s="51">
        <v>0</v>
      </c>
      <c r="H78" s="51">
        <v>0</v>
      </c>
      <c r="I78" s="51">
        <v>0</v>
      </c>
      <c r="J78" s="51">
        <v>0</v>
      </c>
      <c r="K78" s="110" t="s">
        <v>165</v>
      </c>
      <c r="L78" s="57"/>
      <c r="M78" s="4"/>
      <c r="N78" s="212" t="str">
        <f t="shared" si="42"/>
        <v>Groundwater bore &lt; 70m TVD</v>
      </c>
      <c r="O78" s="213" t="str">
        <f t="shared" si="43"/>
        <v>-</v>
      </c>
      <c r="P78" s="213" t="str">
        <f t="shared" ref="P78:P129" si="45">IF(Q78=1,IF(O78&lt;&gt;"-",N78&amp;" - "&amp;O78,N78),"")</f>
        <v>Groundwater bore &lt; 70m TVD</v>
      </c>
      <c r="Q78" s="233">
        <v>1</v>
      </c>
      <c r="R78" s="215" t="str">
        <f t="shared" si="44"/>
        <v>#</v>
      </c>
    </row>
    <row r="79" spans="1:24" s="14" customFormat="1" ht="28.5" outlineLevel="1" x14ac:dyDescent="0.2">
      <c r="A79" s="4"/>
      <c r="B79" s="134" t="s">
        <v>83</v>
      </c>
      <c r="C79" s="135" t="s">
        <v>70</v>
      </c>
      <c r="D79" s="64" t="s">
        <v>85</v>
      </c>
      <c r="E79" s="65" t="s">
        <v>82</v>
      </c>
      <c r="F79" s="51">
        <v>0</v>
      </c>
      <c r="G79" s="51">
        <v>0</v>
      </c>
      <c r="H79" s="51">
        <v>0</v>
      </c>
      <c r="I79" s="51">
        <v>0</v>
      </c>
      <c r="J79" s="51">
        <v>0</v>
      </c>
      <c r="K79" s="110" t="s">
        <v>166</v>
      </c>
      <c r="L79" s="57"/>
      <c r="M79" s="4"/>
      <c r="N79" s="212" t="str">
        <f t="shared" si="42"/>
        <v>Groundwater bore ≥ 70m TVD</v>
      </c>
      <c r="O79" s="213" t="str">
        <f t="shared" si="43"/>
        <v>-</v>
      </c>
      <c r="P79" s="213" t="str">
        <f t="shared" si="45"/>
        <v>Groundwater bore ≥ 70m TVD</v>
      </c>
      <c r="Q79" s="233">
        <v>1</v>
      </c>
      <c r="R79" s="215" t="str">
        <f t="shared" si="44"/>
        <v>#</v>
      </c>
    </row>
    <row r="80" spans="1:24" s="14" customFormat="1" outlineLevel="1" x14ac:dyDescent="0.2">
      <c r="A80" s="4"/>
      <c r="B80" s="134" t="s">
        <v>84</v>
      </c>
      <c r="C80" s="135" t="s">
        <v>70</v>
      </c>
      <c r="D80" s="64" t="s">
        <v>85</v>
      </c>
      <c r="E80" s="65" t="s">
        <v>82</v>
      </c>
      <c r="F80" s="51">
        <v>0</v>
      </c>
      <c r="G80" s="51">
        <v>0</v>
      </c>
      <c r="H80" s="51">
        <v>0</v>
      </c>
      <c r="I80" s="51">
        <v>0</v>
      </c>
      <c r="J80" s="51">
        <v>0</v>
      </c>
      <c r="K80" s="110" t="s">
        <v>167</v>
      </c>
      <c r="L80" s="57"/>
      <c r="M80" s="4"/>
      <c r="N80" s="212" t="str">
        <f t="shared" si="42"/>
        <v>Drill sump liners</v>
      </c>
      <c r="O80" s="213" t="str">
        <f t="shared" si="43"/>
        <v>-</v>
      </c>
      <c r="P80" s="213" t="str">
        <f t="shared" si="45"/>
        <v>Drill sump liners</v>
      </c>
      <c r="Q80" s="233">
        <v>1</v>
      </c>
      <c r="R80" s="215" t="str">
        <f t="shared" si="44"/>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42"/>
        <v>Drill sump</v>
      </c>
      <c r="O81" s="213" t="str">
        <f t="shared" si="43"/>
        <v>-</v>
      </c>
      <c r="P81" s="213" t="str">
        <f t="shared" si="45"/>
        <v/>
      </c>
      <c r="Q81" s="233"/>
      <c r="R81" s="215" t="str">
        <f t="shared" si="44"/>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42"/>
        <v>Drill sump</v>
      </c>
      <c r="O82" s="213" t="str">
        <f t="shared" si="43"/>
        <v>-</v>
      </c>
      <c r="P82" s="213" t="str">
        <f t="shared" si="45"/>
        <v/>
      </c>
      <c r="Q82" s="233"/>
      <c r="R82" s="215" t="str">
        <f t="shared" si="44"/>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42"/>
        <v>Drill sump</v>
      </c>
      <c r="O83" s="213" t="str">
        <f t="shared" si="43"/>
        <v>-</v>
      </c>
      <c r="P83" s="213" t="str">
        <f t="shared" si="45"/>
        <v/>
      </c>
      <c r="Q83" s="233"/>
      <c r="R83" s="215" t="str">
        <f t="shared" si="44"/>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42"/>
        <v>Drill sump</v>
      </c>
      <c r="O84" s="213" t="str">
        <f t="shared" si="43"/>
        <v>-</v>
      </c>
      <c r="P84" s="213" t="str">
        <f t="shared" si="45"/>
        <v/>
      </c>
      <c r="Q84" s="233"/>
      <c r="R84" s="215" t="str">
        <f t="shared" si="44"/>
        <v>m</v>
      </c>
    </row>
    <row r="85" spans="1:18" s="14" customFormat="1" ht="15.75" outlineLevel="1" x14ac:dyDescent="0.2">
      <c r="A85" s="4"/>
      <c r="B85" s="658"/>
      <c r="C85" s="652"/>
      <c r="D85" s="64" t="s">
        <v>87</v>
      </c>
      <c r="E85" s="65" t="s">
        <v>133</v>
      </c>
      <c r="F85" s="223">
        <f>F81*(F82*F83*F84)</f>
        <v>0</v>
      </c>
      <c r="G85" s="223">
        <f t="shared" ref="G85:J85" si="46">G81*(G82*G83*G84)</f>
        <v>0</v>
      </c>
      <c r="H85" s="223">
        <f t="shared" si="46"/>
        <v>0</v>
      </c>
      <c r="I85" s="223">
        <f t="shared" si="46"/>
        <v>0</v>
      </c>
      <c r="J85" s="223">
        <f t="shared" si="46"/>
        <v>0</v>
      </c>
      <c r="K85" s="654"/>
      <c r="L85" s="57"/>
      <c r="M85" s="4"/>
      <c r="N85" s="212" t="str">
        <f t="shared" si="42"/>
        <v>Drill sump</v>
      </c>
      <c r="O85" s="213" t="str">
        <f t="shared" si="43"/>
        <v>-</v>
      </c>
      <c r="P85" s="213" t="str">
        <f t="shared" si="45"/>
        <v>Drill sump</v>
      </c>
      <c r="Q85" s="233">
        <v>1</v>
      </c>
      <c r="R85" s="215" t="str">
        <f t="shared" si="44"/>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42"/>
        <v>Flare pit</v>
      </c>
      <c r="O86" s="213" t="str">
        <f t="shared" si="43"/>
        <v>-</v>
      </c>
      <c r="P86" s="213" t="str">
        <f t="shared" si="45"/>
        <v/>
      </c>
      <c r="Q86" s="233"/>
      <c r="R86" s="215" t="str">
        <f t="shared" si="44"/>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42"/>
        <v>Flare pit</v>
      </c>
      <c r="O87" s="213" t="str">
        <f t="shared" si="43"/>
        <v>-</v>
      </c>
      <c r="P87" s="213" t="str">
        <f t="shared" si="45"/>
        <v/>
      </c>
      <c r="Q87" s="233"/>
      <c r="R87" s="215" t="str">
        <f t="shared" si="44"/>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42"/>
        <v>Flare pit</v>
      </c>
      <c r="O88" s="213" t="str">
        <f t="shared" si="43"/>
        <v>-</v>
      </c>
      <c r="P88" s="213" t="str">
        <f t="shared" si="45"/>
        <v/>
      </c>
      <c r="Q88" s="233"/>
      <c r="R88" s="215" t="str">
        <f t="shared" si="44"/>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42"/>
        <v>Flare pit</v>
      </c>
      <c r="O89" s="213" t="str">
        <f t="shared" si="43"/>
        <v>-</v>
      </c>
      <c r="P89" s="213" t="str">
        <f t="shared" si="45"/>
        <v/>
      </c>
      <c r="Q89" s="233"/>
      <c r="R89" s="215" t="str">
        <f t="shared" si="44"/>
        <v>m</v>
      </c>
    </row>
    <row r="90" spans="1:18" s="14" customFormat="1" ht="15.75" outlineLevel="1" x14ac:dyDescent="0.2">
      <c r="A90" s="4"/>
      <c r="B90" s="658"/>
      <c r="C90" s="652"/>
      <c r="D90" s="64" t="s">
        <v>87</v>
      </c>
      <c r="E90" s="65" t="s">
        <v>133</v>
      </c>
      <c r="F90" s="224">
        <f>F86*(F87*F88*F89)</f>
        <v>0</v>
      </c>
      <c r="G90" s="224">
        <f t="shared" ref="G90:J90" si="47">G86*(G87*G88*G89)</f>
        <v>0</v>
      </c>
      <c r="H90" s="224">
        <f t="shared" si="47"/>
        <v>0</v>
      </c>
      <c r="I90" s="224">
        <f t="shared" si="47"/>
        <v>0</v>
      </c>
      <c r="J90" s="224">
        <f t="shared" si="47"/>
        <v>0</v>
      </c>
      <c r="K90" s="654"/>
      <c r="L90" s="57"/>
      <c r="M90" s="4"/>
      <c r="N90" s="212" t="str">
        <f t="shared" si="42"/>
        <v>Flare pit</v>
      </c>
      <c r="O90" s="213" t="str">
        <f t="shared" si="43"/>
        <v>-</v>
      </c>
      <c r="P90" s="213" t="str">
        <f t="shared" si="45"/>
        <v>Flare pit</v>
      </c>
      <c r="Q90" s="233">
        <v>1</v>
      </c>
      <c r="R90" s="215" t="str">
        <f t="shared" si="44"/>
        <v>m3</v>
      </c>
    </row>
    <row r="91" spans="1:18" s="14" customFormat="1" ht="28.5" outlineLevel="1" x14ac:dyDescent="0.2">
      <c r="A91" s="4"/>
      <c r="B91" s="134" t="s">
        <v>89</v>
      </c>
      <c r="C91" s="135" t="s">
        <v>70</v>
      </c>
      <c r="D91" s="64" t="s">
        <v>85</v>
      </c>
      <c r="E91" s="65" t="s">
        <v>82</v>
      </c>
      <c r="F91" s="222">
        <v>0</v>
      </c>
      <c r="G91" s="222">
        <v>0</v>
      </c>
      <c r="H91" s="222">
        <v>0</v>
      </c>
      <c r="I91" s="222">
        <v>0</v>
      </c>
      <c r="J91" s="222">
        <v>0</v>
      </c>
      <c r="K91" s="110" t="s">
        <v>171</v>
      </c>
      <c r="L91" s="57"/>
      <c r="M91" s="4"/>
      <c r="N91" s="212" t="str">
        <f t="shared" si="42"/>
        <v>Wastewater tank</v>
      </c>
      <c r="O91" s="213" t="str">
        <f t="shared" si="43"/>
        <v>-</v>
      </c>
      <c r="P91" s="213" t="str">
        <f t="shared" si="45"/>
        <v>Wastewater tank</v>
      </c>
      <c r="Q91" s="233">
        <v>1</v>
      </c>
      <c r="R91" s="215" t="str">
        <f t="shared" si="44"/>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ref="N92" si="48">IF(B92="",N91,B92)</f>
        <v>Wastewater treatment plant (camp)</v>
      </c>
      <c r="O92" s="213" t="str">
        <f t="shared" ref="O92" si="49">IF(C92="",O91,C92)</f>
        <v>-</v>
      </c>
      <c r="P92" s="213" t="str">
        <f t="shared" ref="P92" si="50">IF(Q92=1,IF(O92&lt;&gt;"-",N92&amp;" - "&amp;O92,N92),"")</f>
        <v>Wastewater treatment plant (camp)</v>
      </c>
      <c r="Q92" s="233">
        <v>1</v>
      </c>
      <c r="R92" s="215" t="str">
        <f t="shared" ref="R92" si="51">E92</f>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si="42"/>
        <v>Turkey's nest</v>
      </c>
      <c r="O93" s="213" t="str">
        <f t="shared" si="43"/>
        <v>-</v>
      </c>
      <c r="P93" s="213" t="str">
        <f t="shared" si="45"/>
        <v/>
      </c>
      <c r="Q93" s="233"/>
      <c r="R93" s="215" t="str">
        <f t="shared" si="44"/>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42"/>
        <v>Turkey's nest</v>
      </c>
      <c r="O94" s="213" t="str">
        <f t="shared" si="43"/>
        <v>-</v>
      </c>
      <c r="P94" s="213" t="str">
        <f t="shared" si="45"/>
        <v/>
      </c>
      <c r="Q94" s="233"/>
      <c r="R94" s="215" t="str">
        <f t="shared" si="44"/>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42"/>
        <v>Turkey's nest</v>
      </c>
      <c r="O95" s="213" t="str">
        <f t="shared" si="43"/>
        <v>-</v>
      </c>
      <c r="P95" s="213" t="str">
        <f t="shared" si="45"/>
        <v/>
      </c>
      <c r="Q95" s="233"/>
      <c r="R95" s="215" t="str">
        <f t="shared" si="44"/>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42"/>
        <v>Turkey's nest</v>
      </c>
      <c r="O96" s="213" t="str">
        <f t="shared" si="43"/>
        <v>-</v>
      </c>
      <c r="P96" s="213" t="str">
        <f t="shared" si="45"/>
        <v/>
      </c>
      <c r="Q96" s="233"/>
      <c r="R96" s="215" t="str">
        <f t="shared" si="44"/>
        <v>m</v>
      </c>
    </row>
    <row r="97" spans="1:27" s="14" customFormat="1" ht="15.75" outlineLevel="1" x14ac:dyDescent="0.2">
      <c r="A97" s="4"/>
      <c r="B97" s="658"/>
      <c r="C97" s="652"/>
      <c r="D97" s="64" t="s">
        <v>87</v>
      </c>
      <c r="E97" s="65" t="s">
        <v>133</v>
      </c>
      <c r="F97" s="224">
        <f>F93*(F94*F95*F96)</f>
        <v>0</v>
      </c>
      <c r="G97" s="224">
        <f t="shared" ref="G97:J97" si="52">G93*(G94*G95*G96)</f>
        <v>0</v>
      </c>
      <c r="H97" s="224">
        <f t="shared" si="52"/>
        <v>0</v>
      </c>
      <c r="I97" s="224">
        <f t="shared" si="52"/>
        <v>0</v>
      </c>
      <c r="J97" s="224">
        <f t="shared" si="52"/>
        <v>0</v>
      </c>
      <c r="K97" s="654"/>
      <c r="L97" s="57"/>
      <c r="M97" s="4"/>
      <c r="N97" s="212" t="str">
        <f t="shared" si="42"/>
        <v>Turkey's nest</v>
      </c>
      <c r="O97" s="213" t="str">
        <f t="shared" si="43"/>
        <v>-</v>
      </c>
      <c r="P97" s="213" t="str">
        <f t="shared" si="45"/>
        <v>Turkey's nest</v>
      </c>
      <c r="Q97" s="233">
        <v>1</v>
      </c>
      <c r="R97" s="215" t="str">
        <f t="shared" si="44"/>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42"/>
        <v>Camp capacity</v>
      </c>
      <c r="O98" s="419" t="str">
        <f t="shared" si="43"/>
        <v>-</v>
      </c>
      <c r="P98" s="419" t="str">
        <f t="shared" si="45"/>
        <v/>
      </c>
      <c r="Q98" s="421"/>
      <c r="R98" s="215" t="str">
        <f t="shared" si="44"/>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42"/>
        <v>Camp capacity</v>
      </c>
      <c r="O99" s="419" t="str">
        <f t="shared" si="43"/>
        <v>-</v>
      </c>
      <c r="P99" s="419" t="str">
        <f t="shared" si="45"/>
        <v>Camp capacity</v>
      </c>
      <c r="Q99" s="421">
        <v>1</v>
      </c>
      <c r="R99" s="215" t="str">
        <f t="shared" si="44"/>
        <v>#</v>
      </c>
    </row>
    <row r="100" spans="1:27" s="14" customFormat="1" ht="28.5" outlineLevel="1" x14ac:dyDescent="0.2">
      <c r="A100" s="4"/>
      <c r="B100" s="134" t="s">
        <v>102</v>
      </c>
      <c r="C100" s="251" t="s">
        <v>264</v>
      </c>
      <c r="D100" s="64" t="s">
        <v>103</v>
      </c>
      <c r="E100" s="65" t="s">
        <v>79</v>
      </c>
      <c r="F100" s="222">
        <v>0</v>
      </c>
      <c r="G100" s="222">
        <v>0</v>
      </c>
      <c r="H100" s="222">
        <v>0</v>
      </c>
      <c r="I100" s="222">
        <v>0</v>
      </c>
      <c r="J100" s="222">
        <v>0</v>
      </c>
      <c r="K100" s="130" t="s">
        <v>174</v>
      </c>
      <c r="L100" s="57"/>
      <c r="M100" s="4"/>
      <c r="N100" s="212" t="str">
        <f>IF(B100="",N99,B100)</f>
        <v>Flowlines / pipelines</v>
      </c>
      <c r="O100" s="419" t="str">
        <f>IF(C100="",O99,C100)</f>
        <v>Above and below ground</v>
      </c>
      <c r="P100" s="419" t="str">
        <f t="shared" si="45"/>
        <v>Flowlines / pipelines - Above and below ground</v>
      </c>
      <c r="Q100" s="421">
        <v>1</v>
      </c>
      <c r="R100" s="215" t="str">
        <f t="shared" si="44"/>
        <v>m</v>
      </c>
    </row>
    <row r="101" spans="1:27" s="14" customFormat="1" ht="28.5" outlineLevel="1" x14ac:dyDescent="0.2">
      <c r="A101" s="4"/>
      <c r="B101" s="134" t="s">
        <v>104</v>
      </c>
      <c r="C101" s="251" t="s">
        <v>273</v>
      </c>
      <c r="D101" s="64" t="s">
        <v>85</v>
      </c>
      <c r="E101" s="65" t="s">
        <v>82</v>
      </c>
      <c r="F101" s="225">
        <f>F56</f>
        <v>0</v>
      </c>
      <c r="G101" s="225">
        <f>G56</f>
        <v>0</v>
      </c>
      <c r="H101" s="225">
        <f>H56</f>
        <v>0</v>
      </c>
      <c r="I101" s="225">
        <f>I56</f>
        <v>0</v>
      </c>
      <c r="J101" s="225">
        <f>J56</f>
        <v>0</v>
      </c>
      <c r="K101" s="130" t="s">
        <v>175</v>
      </c>
      <c r="L101" s="57"/>
      <c r="M101" s="4"/>
      <c r="N101" s="217" t="str">
        <f>IF(B101="",N100,B101)</f>
        <v xml:space="preserve">Contaminated soil testing </v>
      </c>
      <c r="O101" s="218" t="str">
        <f>IF(C101="",O100,C101)</f>
        <v>Per well pad</v>
      </c>
      <c r="P101" s="218" t="str">
        <f t="shared" ref="P101" si="53">IF(Q101=1,IF(O101&lt;&gt;"-",N101&amp;" - "&amp;O101,N101),"")</f>
        <v>Contaminated soil testing  - Per well pad</v>
      </c>
      <c r="Q101" s="234">
        <v>1</v>
      </c>
      <c r="R101" s="220" t="str">
        <f t="shared" si="44"/>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1.2.4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42"/>
        <v>General waste</v>
      </c>
      <c r="O104" s="229" t="str">
        <f t="shared" si="43"/>
        <v>-</v>
      </c>
      <c r="P104" s="229" t="str">
        <f t="shared" si="45"/>
        <v>General waste</v>
      </c>
      <c r="Q104" s="232">
        <v>1</v>
      </c>
      <c r="R104" s="231" t="str">
        <f t="shared" ref="R104:R129" si="54">E104</f>
        <v>tonnes</v>
      </c>
    </row>
    <row r="105" spans="1:27" s="14" customFormat="1" ht="28.5" outlineLevel="1" x14ac:dyDescent="0.2">
      <c r="A105" s="4"/>
      <c r="B105" s="134" t="s">
        <v>109</v>
      </c>
      <c r="C105" s="196" t="s">
        <v>70</v>
      </c>
      <c r="D105" s="55" t="s">
        <v>176</v>
      </c>
      <c r="E105" s="198" t="s">
        <v>177</v>
      </c>
      <c r="F105" s="222">
        <v>0</v>
      </c>
      <c r="G105" s="222">
        <v>0</v>
      </c>
      <c r="H105" s="222">
        <v>0</v>
      </c>
      <c r="I105" s="222">
        <v>0</v>
      </c>
      <c r="J105" s="222">
        <v>0</v>
      </c>
      <c r="K105" s="110" t="s">
        <v>178</v>
      </c>
      <c r="L105" s="57"/>
      <c r="M105" s="4"/>
      <c r="N105" s="212" t="str">
        <f t="shared" si="42"/>
        <v>Listed waste</v>
      </c>
      <c r="O105" s="235" t="str">
        <f t="shared" si="43"/>
        <v>-</v>
      </c>
      <c r="P105" s="213" t="str">
        <f t="shared" si="45"/>
        <v>Listed waste</v>
      </c>
      <c r="Q105" s="233">
        <v>1</v>
      </c>
      <c r="R105" s="215" t="str">
        <f t="shared" si="54"/>
        <v>tonnes</v>
      </c>
    </row>
    <row r="106" spans="1:27" s="14" customFormat="1" outlineLevel="1" x14ac:dyDescent="0.2">
      <c r="A106" s="4"/>
      <c r="B106" s="134" t="s">
        <v>112</v>
      </c>
      <c r="C106" s="196" t="s">
        <v>70</v>
      </c>
      <c r="D106" s="194" t="s">
        <v>87</v>
      </c>
      <c r="E106" s="67" t="s">
        <v>177</v>
      </c>
      <c r="F106" s="222">
        <v>0</v>
      </c>
      <c r="G106" s="222">
        <v>0</v>
      </c>
      <c r="H106" s="222">
        <v>0</v>
      </c>
      <c r="I106" s="222">
        <v>0</v>
      </c>
      <c r="J106" s="222">
        <v>0</v>
      </c>
      <c r="K106" s="110" t="s">
        <v>113</v>
      </c>
      <c r="L106" s="57"/>
      <c r="M106" s="4"/>
      <c r="N106" s="212" t="str">
        <f t="shared" si="42"/>
        <v xml:space="preserve">Chemical waste </v>
      </c>
      <c r="O106" s="235" t="str">
        <f t="shared" si="43"/>
        <v>-</v>
      </c>
      <c r="P106" s="213" t="str">
        <f t="shared" si="45"/>
        <v xml:space="preserve">Chemical waste </v>
      </c>
      <c r="Q106" s="233">
        <v>1</v>
      </c>
      <c r="R106" s="215" t="str">
        <f t="shared" si="54"/>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43"/>
        <v>-</v>
      </c>
      <c r="P107" s="213" t="str">
        <f t="shared" si="45"/>
        <v/>
      </c>
      <c r="Q107" s="233"/>
      <c r="R107" s="215">
        <f t="shared" si="54"/>
        <v>0</v>
      </c>
    </row>
    <row r="108" spans="1:27" s="14" customFormat="1" ht="42.75" outlineLevel="1" x14ac:dyDescent="0.2">
      <c r="A108" s="4"/>
      <c r="B108" s="189" t="s">
        <v>180</v>
      </c>
      <c r="C108" s="135" t="s">
        <v>70</v>
      </c>
      <c r="D108" s="193" t="s">
        <v>87</v>
      </c>
      <c r="E108" s="198" t="s">
        <v>181</v>
      </c>
      <c r="F108" s="222">
        <v>0</v>
      </c>
      <c r="G108" s="222">
        <v>0</v>
      </c>
      <c r="H108" s="222">
        <v>0</v>
      </c>
      <c r="I108" s="222">
        <v>0</v>
      </c>
      <c r="J108" s="222">
        <v>0</v>
      </c>
      <c r="K108" s="110" t="s">
        <v>182</v>
      </c>
      <c r="L108" s="57"/>
      <c r="M108" s="4"/>
      <c r="N108" s="212" t="str">
        <f t="shared" si="42"/>
        <v>Total volume of hydraulic fracking fluid to be used</v>
      </c>
      <c r="O108" s="236" t="str">
        <f t="shared" si="43"/>
        <v>-</v>
      </c>
      <c r="P108" s="213" t="str">
        <f t="shared" si="45"/>
        <v/>
      </c>
      <c r="Q108" s="233"/>
      <c r="R108" s="215" t="str">
        <f t="shared" si="54"/>
        <v>ML</v>
      </c>
    </row>
    <row r="109" spans="1:27" s="14" customFormat="1" ht="99.75" outlineLevel="1" x14ac:dyDescent="0.2">
      <c r="A109" s="4"/>
      <c r="B109" s="189" t="s">
        <v>183</v>
      </c>
      <c r="C109" s="135" t="s">
        <v>70</v>
      </c>
      <c r="D109" s="194" t="s">
        <v>184</v>
      </c>
      <c r="E109" s="67" t="s">
        <v>185</v>
      </c>
      <c r="F109" s="190">
        <v>0</v>
      </c>
      <c r="G109" s="190">
        <v>0</v>
      </c>
      <c r="H109" s="190">
        <v>0</v>
      </c>
      <c r="I109" s="190">
        <v>0</v>
      </c>
      <c r="J109" s="190">
        <v>0</v>
      </c>
      <c r="K109" s="110" t="s">
        <v>186</v>
      </c>
      <c r="L109" s="57"/>
      <c r="M109" s="4"/>
      <c r="N109" s="212" t="str">
        <f t="shared" si="42"/>
        <v>Percentage expected to return to the surface (flowback fluid)</v>
      </c>
      <c r="O109" s="236" t="str">
        <f t="shared" si="43"/>
        <v>-</v>
      </c>
      <c r="P109" s="213" t="str">
        <f t="shared" si="45"/>
        <v/>
      </c>
      <c r="Q109" s="233"/>
      <c r="R109" s="215" t="str">
        <f t="shared" si="54"/>
        <v>%</v>
      </c>
    </row>
    <row r="110" spans="1:27" s="14" customFormat="1" ht="57" outlineLevel="1" x14ac:dyDescent="0.2">
      <c r="A110" s="4"/>
      <c r="B110" s="189" t="s">
        <v>187</v>
      </c>
      <c r="C110" s="135" t="s">
        <v>70</v>
      </c>
      <c r="D110" s="194" t="s">
        <v>184</v>
      </c>
      <c r="E110" s="67" t="s">
        <v>185</v>
      </c>
      <c r="F110" s="190">
        <v>0</v>
      </c>
      <c r="G110" s="190">
        <v>0</v>
      </c>
      <c r="H110" s="190">
        <v>0</v>
      </c>
      <c r="I110" s="190">
        <v>0</v>
      </c>
      <c r="J110" s="190">
        <v>0</v>
      </c>
      <c r="K110" s="110" t="s">
        <v>188</v>
      </c>
      <c r="L110" s="57"/>
      <c r="M110" s="4"/>
      <c r="N110" s="212" t="str">
        <f t="shared" si="42"/>
        <v>Evaporation rate expected</v>
      </c>
      <c r="O110" s="236" t="str">
        <f t="shared" si="43"/>
        <v>-</v>
      </c>
      <c r="P110" s="213" t="str">
        <f t="shared" si="45"/>
        <v/>
      </c>
      <c r="Q110" s="233"/>
      <c r="R110" s="215" t="str">
        <f t="shared" si="54"/>
        <v>%</v>
      </c>
    </row>
    <row r="111" spans="1:27" s="14" customFormat="1" ht="42.75" outlineLevel="1" x14ac:dyDescent="0.2">
      <c r="A111" s="4"/>
      <c r="B111" s="189" t="s">
        <v>189</v>
      </c>
      <c r="C111" s="196" t="s">
        <v>70</v>
      </c>
      <c r="D111" s="194" t="s">
        <v>87</v>
      </c>
      <c r="E111" s="67" t="s">
        <v>181</v>
      </c>
      <c r="F111" s="459">
        <f t="shared" ref="F111:I111" si="55">(F108*F109)-((F108*F109)*F110)</f>
        <v>0</v>
      </c>
      <c r="G111" s="383">
        <f t="shared" si="55"/>
        <v>0</v>
      </c>
      <c r="H111" s="383">
        <f t="shared" si="55"/>
        <v>0</v>
      </c>
      <c r="I111" s="383">
        <f t="shared" si="55"/>
        <v>0</v>
      </c>
      <c r="J111" s="383">
        <f t="shared" ref="J111" si="56">(J108*J109)-((J108*J109)*J110)</f>
        <v>0</v>
      </c>
      <c r="K111" s="110" t="s">
        <v>190</v>
      </c>
      <c r="L111" s="57"/>
      <c r="M111" s="4"/>
      <c r="N111" s="212" t="str">
        <f t="shared" si="42"/>
        <v>Volume to be disposed</v>
      </c>
      <c r="O111" s="213" t="str">
        <f t="shared" si="43"/>
        <v>-</v>
      </c>
      <c r="P111" s="213" t="str">
        <f>N107</f>
        <v>Hydraulic Fracking Fluid</v>
      </c>
      <c r="Q111" s="233">
        <v>1</v>
      </c>
      <c r="R111" s="215" t="str">
        <f t="shared" si="54"/>
        <v>ML</v>
      </c>
    </row>
    <row r="112" spans="1:27" s="14" customFormat="1" ht="71.25" outlineLevel="1" x14ac:dyDescent="0.2">
      <c r="A112" s="4"/>
      <c r="B112" s="477" t="s">
        <v>302</v>
      </c>
      <c r="C112" s="135" t="s">
        <v>70</v>
      </c>
      <c r="D112" s="194" t="s">
        <v>191</v>
      </c>
      <c r="E112" s="135" t="s">
        <v>192</v>
      </c>
      <c r="F112" s="237">
        <v>0</v>
      </c>
      <c r="G112" s="237">
        <v>0</v>
      </c>
      <c r="H112" s="237">
        <v>0</v>
      </c>
      <c r="I112" s="237">
        <v>0</v>
      </c>
      <c r="J112" s="237">
        <v>0</v>
      </c>
      <c r="K112" s="110" t="s">
        <v>193</v>
      </c>
      <c r="L112" s="57"/>
      <c r="M112" s="4"/>
      <c r="N112" s="212" t="str">
        <f t="shared" si="42"/>
        <v>Expected TDS after evaporation</v>
      </c>
      <c r="O112" s="236" t="str">
        <f t="shared" si="43"/>
        <v>-</v>
      </c>
      <c r="P112" s="213" t="str">
        <f t="shared" si="45"/>
        <v/>
      </c>
      <c r="Q112" s="233"/>
      <c r="R112" s="417" t="str">
        <f t="shared" si="54"/>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42"/>
        <v>Produced water (formation water)</v>
      </c>
      <c r="O113" s="213" t="str">
        <f t="shared" si="43"/>
        <v>-</v>
      </c>
      <c r="P113" s="213" t="str">
        <f t="shared" si="45"/>
        <v/>
      </c>
      <c r="Q113" s="233"/>
      <c r="R113" s="215">
        <f t="shared" si="54"/>
        <v>0</v>
      </c>
    </row>
    <row r="114" spans="1:18" s="14" customFormat="1" ht="128.25" outlineLevel="1" x14ac:dyDescent="0.2">
      <c r="A114" s="4"/>
      <c r="B114" s="189" t="s">
        <v>195</v>
      </c>
      <c r="C114" s="135" t="s">
        <v>70</v>
      </c>
      <c r="D114" s="193" t="s">
        <v>87</v>
      </c>
      <c r="E114" s="198" t="s">
        <v>181</v>
      </c>
      <c r="F114" s="222">
        <v>0</v>
      </c>
      <c r="G114" s="222">
        <v>0</v>
      </c>
      <c r="H114" s="222">
        <v>0</v>
      </c>
      <c r="I114" s="222">
        <v>0</v>
      </c>
      <c r="J114" s="222">
        <v>0</v>
      </c>
      <c r="K114" s="110" t="s">
        <v>196</v>
      </c>
      <c r="L114" s="57"/>
      <c r="M114" s="4"/>
      <c r="N114" s="212" t="str">
        <f t="shared" si="42"/>
        <v>Expected volume of produced water</v>
      </c>
      <c r="O114" s="236" t="str">
        <f t="shared" si="43"/>
        <v>-</v>
      </c>
      <c r="P114" s="213" t="str">
        <f t="shared" si="45"/>
        <v/>
      </c>
      <c r="Q114" s="233"/>
      <c r="R114" s="215" t="str">
        <f t="shared" si="54"/>
        <v>ML</v>
      </c>
    </row>
    <row r="115" spans="1:18" s="14" customFormat="1" ht="57" outlineLevel="1" x14ac:dyDescent="0.2">
      <c r="A115" s="4"/>
      <c r="B115" s="189" t="s">
        <v>187</v>
      </c>
      <c r="C115" s="135" t="s">
        <v>70</v>
      </c>
      <c r="D115" s="194" t="s">
        <v>184</v>
      </c>
      <c r="E115" s="67" t="s">
        <v>185</v>
      </c>
      <c r="F115" s="190">
        <v>0</v>
      </c>
      <c r="G115" s="190">
        <v>0</v>
      </c>
      <c r="H115" s="190">
        <v>0</v>
      </c>
      <c r="I115" s="190">
        <v>0</v>
      </c>
      <c r="J115" s="190">
        <v>0</v>
      </c>
      <c r="K115" s="110" t="s">
        <v>188</v>
      </c>
      <c r="L115" s="57"/>
      <c r="M115" s="4"/>
      <c r="N115" s="212" t="str">
        <f t="shared" ref="N115:N128" si="57">IF(B115="",N114,B115)</f>
        <v>Evaporation rate expected</v>
      </c>
      <c r="O115" s="236" t="str">
        <f t="shared" si="43"/>
        <v>-</v>
      </c>
      <c r="P115" s="213" t="str">
        <f t="shared" ref="P115:P122" si="58">IF(Q115=1,IF(O115&lt;&gt;"-",N115&amp;" - "&amp;O115,N115),"")</f>
        <v/>
      </c>
      <c r="Q115" s="233"/>
      <c r="R115" s="215" t="str">
        <f t="shared" si="54"/>
        <v>%</v>
      </c>
    </row>
    <row r="116" spans="1:18" s="14" customFormat="1" ht="42.75" outlineLevel="1" x14ac:dyDescent="0.2">
      <c r="A116" s="4"/>
      <c r="B116" s="189" t="s">
        <v>189</v>
      </c>
      <c r="C116" s="196" t="s">
        <v>70</v>
      </c>
      <c r="D116" s="55" t="s">
        <v>87</v>
      </c>
      <c r="E116" s="198" t="s">
        <v>181</v>
      </c>
      <c r="F116" s="383">
        <f t="shared" ref="F116:I116" si="59">F114-(F114*F115)</f>
        <v>0</v>
      </c>
      <c r="G116" s="383">
        <f t="shared" si="59"/>
        <v>0</v>
      </c>
      <c r="H116" s="383">
        <f t="shared" si="59"/>
        <v>0</v>
      </c>
      <c r="I116" s="383">
        <f t="shared" si="59"/>
        <v>0</v>
      </c>
      <c r="J116" s="383">
        <f t="shared" ref="J116" si="60">J114-(J114*J115)</f>
        <v>0</v>
      </c>
      <c r="K116" s="110" t="s">
        <v>190</v>
      </c>
      <c r="L116" s="57"/>
      <c r="M116" s="4"/>
      <c r="N116" s="216" t="str">
        <f t="shared" si="57"/>
        <v>Volume to be disposed</v>
      </c>
      <c r="O116" s="236" t="str">
        <f t="shared" si="43"/>
        <v>-</v>
      </c>
      <c r="P116" s="213" t="str">
        <f>N113</f>
        <v>Produced water (formation water)</v>
      </c>
      <c r="Q116" s="233">
        <v>1</v>
      </c>
      <c r="R116" s="215" t="str">
        <f t="shared" si="54"/>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57"/>
        <v>Expected TDS after evaporation</v>
      </c>
      <c r="O117" s="236" t="str">
        <f t="shared" si="43"/>
        <v>-</v>
      </c>
      <c r="P117" s="213" t="str">
        <f t="shared" si="58"/>
        <v/>
      </c>
      <c r="Q117" s="416"/>
      <c r="R117" s="417" t="str">
        <f t="shared" si="54"/>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57"/>
        <v>Other Wastewater</v>
      </c>
      <c r="O118" s="213" t="str">
        <f t="shared" si="43"/>
        <v>-</v>
      </c>
      <c r="P118" s="213" t="str">
        <f t="shared" si="58"/>
        <v/>
      </c>
      <c r="Q118" s="233"/>
      <c r="R118" s="215">
        <f t="shared" si="54"/>
        <v>0</v>
      </c>
    </row>
    <row r="119" spans="1:18" s="14" customFormat="1" ht="42.75" outlineLevel="1" x14ac:dyDescent="0.2">
      <c r="A119" s="4"/>
      <c r="B119" s="189" t="s">
        <v>198</v>
      </c>
      <c r="C119" s="135" t="s">
        <v>70</v>
      </c>
      <c r="D119" s="193" t="s">
        <v>87</v>
      </c>
      <c r="E119" s="198" t="s">
        <v>181</v>
      </c>
      <c r="F119" s="222">
        <v>0</v>
      </c>
      <c r="G119" s="222">
        <v>0</v>
      </c>
      <c r="H119" s="222">
        <v>0</v>
      </c>
      <c r="I119" s="222">
        <v>0</v>
      </c>
      <c r="J119" s="222">
        <v>0</v>
      </c>
      <c r="K119" s="110" t="s">
        <v>199</v>
      </c>
      <c r="L119" s="57"/>
      <c r="M119" s="4"/>
      <c r="N119" s="212" t="str">
        <f t="shared" si="57"/>
        <v>Expected volume of other wastewater</v>
      </c>
      <c r="O119" s="235" t="str">
        <f t="shared" si="43"/>
        <v>-</v>
      </c>
      <c r="P119" s="213" t="str">
        <f t="shared" si="58"/>
        <v/>
      </c>
      <c r="Q119" s="233"/>
      <c r="R119" s="215" t="str">
        <f t="shared" si="54"/>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57"/>
        <v>Evaporation rate expected</v>
      </c>
      <c r="O120" s="235" t="str">
        <f t="shared" si="43"/>
        <v>-</v>
      </c>
      <c r="P120" s="213" t="str">
        <f t="shared" si="58"/>
        <v/>
      </c>
      <c r="Q120" s="233"/>
      <c r="R120" s="215" t="str">
        <f t="shared" si="54"/>
        <v>%</v>
      </c>
    </row>
    <row r="121" spans="1:18" s="14" customFormat="1" ht="44.65" customHeight="1" outlineLevel="1" x14ac:dyDescent="0.2">
      <c r="A121" s="4"/>
      <c r="B121" s="189" t="s">
        <v>189</v>
      </c>
      <c r="C121" s="135" t="s">
        <v>70</v>
      </c>
      <c r="D121" s="193" t="s">
        <v>87</v>
      </c>
      <c r="E121" s="198" t="s">
        <v>181</v>
      </c>
      <c r="F121" s="383">
        <f t="shared" ref="F121:I121" si="61">F119-(F119*F120)</f>
        <v>0</v>
      </c>
      <c r="G121" s="383">
        <f t="shared" si="61"/>
        <v>0</v>
      </c>
      <c r="H121" s="383">
        <f t="shared" si="61"/>
        <v>0</v>
      </c>
      <c r="I121" s="383">
        <f t="shared" si="61"/>
        <v>0</v>
      </c>
      <c r="J121" s="383">
        <f t="shared" ref="J121" si="62">J119-(J119*J120)</f>
        <v>0</v>
      </c>
      <c r="K121" s="110" t="s">
        <v>190</v>
      </c>
      <c r="L121" s="57"/>
      <c r="M121" s="4"/>
      <c r="N121" s="212" t="str">
        <f t="shared" si="57"/>
        <v>Volume to be disposed</v>
      </c>
      <c r="O121" s="235" t="str">
        <f t="shared" si="43"/>
        <v>-</v>
      </c>
      <c r="P121" s="213" t="str">
        <f>N118</f>
        <v>Other Wastewater</v>
      </c>
      <c r="Q121" s="233">
        <v>1</v>
      </c>
      <c r="R121" s="215" t="str">
        <f t="shared" si="54"/>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57"/>
        <v>Expected TDS after evaporation</v>
      </c>
      <c r="O122" s="235" t="str">
        <f t="shared" si="43"/>
        <v>-</v>
      </c>
      <c r="P122" s="213" t="str">
        <f t="shared" si="58"/>
        <v/>
      </c>
      <c r="Q122" s="233"/>
      <c r="R122" s="417" t="str">
        <f t="shared" si="54"/>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57"/>
        <v>Drilling Muds and Cuttings</v>
      </c>
      <c r="O123" s="236" t="str">
        <f t="shared" si="43"/>
        <v>-</v>
      </c>
      <c r="P123" s="213" t="str">
        <f t="shared" si="45"/>
        <v/>
      </c>
      <c r="Q123" s="233"/>
      <c r="R123" s="215"/>
    </row>
    <row r="124" spans="1:18" s="14" customFormat="1" ht="71.650000000000006" customHeight="1" outlineLevel="1" x14ac:dyDescent="0.2">
      <c r="A124" s="4"/>
      <c r="B124" s="189" t="s">
        <v>304</v>
      </c>
      <c r="C124" s="135" t="s">
        <v>70</v>
      </c>
      <c r="D124" s="194" t="s">
        <v>87</v>
      </c>
      <c r="E124" s="67" t="s">
        <v>133</v>
      </c>
      <c r="F124" s="222">
        <v>0</v>
      </c>
      <c r="G124" s="222">
        <v>0</v>
      </c>
      <c r="H124" s="222">
        <v>0</v>
      </c>
      <c r="I124" s="222">
        <v>0</v>
      </c>
      <c r="J124" s="222">
        <v>0</v>
      </c>
      <c r="K124" s="478" t="s">
        <v>317</v>
      </c>
      <c r="L124" s="57"/>
      <c r="M124" s="4"/>
      <c r="N124" s="212" t="str">
        <f t="shared" si="57"/>
        <v>Expected volume of drilling muds and cuttings</v>
      </c>
      <c r="O124" s="236" t="str">
        <f t="shared" ref="O124:O127" si="63">IF(C124="",O123,C124)</f>
        <v>-</v>
      </c>
      <c r="P124" s="213" t="str">
        <f t="shared" ref="P124:P127" si="64">IF(Q124=1,IF(O124&lt;&gt;"-",N124&amp;" - "&amp;O124,N124),"")</f>
        <v/>
      </c>
      <c r="Q124" s="233"/>
      <c r="R124" s="215"/>
    </row>
    <row r="125" spans="1:18" s="14" customFormat="1" ht="37.5" customHeight="1" outlineLevel="1" x14ac:dyDescent="0.2">
      <c r="A125" s="4"/>
      <c r="B125" s="189" t="s">
        <v>187</v>
      </c>
      <c r="C125" s="135" t="s">
        <v>70</v>
      </c>
      <c r="D125" s="194" t="s">
        <v>184</v>
      </c>
      <c r="E125" s="198" t="s">
        <v>185</v>
      </c>
      <c r="F125" s="190">
        <v>0</v>
      </c>
      <c r="G125" s="190">
        <v>0</v>
      </c>
      <c r="H125" s="190">
        <v>0</v>
      </c>
      <c r="I125" s="190">
        <v>0</v>
      </c>
      <c r="J125" s="190">
        <v>0</v>
      </c>
      <c r="K125" s="110" t="s">
        <v>202</v>
      </c>
      <c r="L125" s="57"/>
      <c r="M125" s="4"/>
      <c r="N125" s="212" t="str">
        <f t="shared" si="57"/>
        <v>Evaporation rate expected</v>
      </c>
      <c r="O125" s="236" t="str">
        <f t="shared" si="63"/>
        <v>-</v>
      </c>
      <c r="P125" s="213" t="str">
        <f t="shared" si="64"/>
        <v/>
      </c>
      <c r="Q125" s="233"/>
      <c r="R125" s="215"/>
    </row>
    <row r="126" spans="1:18" s="14" customFormat="1" ht="40.15" customHeight="1" outlineLevel="1" x14ac:dyDescent="0.2">
      <c r="A126" s="4"/>
      <c r="B126" s="477" t="s">
        <v>189</v>
      </c>
      <c r="C126" s="135" t="s">
        <v>70</v>
      </c>
      <c r="D126" s="194" t="s">
        <v>87</v>
      </c>
      <c r="E126" s="198" t="s">
        <v>169</v>
      </c>
      <c r="F126" s="383">
        <f>F124-(F124*F125)</f>
        <v>0</v>
      </c>
      <c r="G126" s="383">
        <f t="shared" ref="G126:I126" si="65">G124-(G124*G125)</f>
        <v>0</v>
      </c>
      <c r="H126" s="383">
        <f t="shared" si="65"/>
        <v>0</v>
      </c>
      <c r="I126" s="383">
        <f t="shared" si="65"/>
        <v>0</v>
      </c>
      <c r="J126" s="383">
        <f t="shared" ref="J126" si="66">J124-(J124*J125)</f>
        <v>0</v>
      </c>
      <c r="K126" s="110" t="s">
        <v>190</v>
      </c>
      <c r="L126" s="57"/>
      <c r="M126" s="4"/>
      <c r="N126" s="212" t="str">
        <f t="shared" si="57"/>
        <v>Volume to be disposed</v>
      </c>
      <c r="O126" s="236" t="str">
        <f t="shared" si="63"/>
        <v>-</v>
      </c>
      <c r="P126" s="213" t="str">
        <f>N123</f>
        <v>Drilling Muds and Cuttings</v>
      </c>
      <c r="Q126" s="233">
        <v>1</v>
      </c>
      <c r="R126" s="215"/>
    </row>
    <row r="127" spans="1:18" s="14" customFormat="1" ht="71.25" outlineLevel="1" x14ac:dyDescent="0.2">
      <c r="A127" s="4"/>
      <c r="B127" s="477" t="s">
        <v>302</v>
      </c>
      <c r="C127" s="135" t="s">
        <v>70</v>
      </c>
      <c r="D127" s="194" t="s">
        <v>191</v>
      </c>
      <c r="E127" s="199" t="s">
        <v>192</v>
      </c>
      <c r="F127" s="237">
        <v>0</v>
      </c>
      <c r="G127" s="237">
        <v>0</v>
      </c>
      <c r="H127" s="237">
        <v>0</v>
      </c>
      <c r="I127" s="237">
        <v>0</v>
      </c>
      <c r="J127" s="237">
        <v>0</v>
      </c>
      <c r="K127" s="110" t="s">
        <v>203</v>
      </c>
      <c r="L127" s="57"/>
      <c r="M127" s="4"/>
      <c r="N127" s="212" t="str">
        <f t="shared" si="57"/>
        <v>Expected TDS after evaporation</v>
      </c>
      <c r="O127" s="236" t="str">
        <f t="shared" si="63"/>
        <v>-</v>
      </c>
      <c r="P127" s="213" t="str">
        <f t="shared" si="64"/>
        <v/>
      </c>
      <c r="Q127" s="233"/>
      <c r="R127" s="215"/>
    </row>
    <row r="128" spans="1:18" s="14" customFormat="1" ht="28.5" outlineLevel="1" x14ac:dyDescent="0.2">
      <c r="A128" s="4"/>
      <c r="B128" s="71" t="s">
        <v>130</v>
      </c>
      <c r="C128" s="135" t="s">
        <v>70</v>
      </c>
      <c r="D128" s="194" t="s">
        <v>82</v>
      </c>
      <c r="E128" s="198" t="s">
        <v>222</v>
      </c>
      <c r="F128" s="222">
        <v>0</v>
      </c>
      <c r="G128" s="222">
        <v>0</v>
      </c>
      <c r="H128" s="222">
        <v>0</v>
      </c>
      <c r="I128" s="222">
        <v>0</v>
      </c>
      <c r="J128" s="222">
        <v>0</v>
      </c>
      <c r="K128" s="110" t="s">
        <v>204</v>
      </c>
      <c r="L128" s="57"/>
      <c r="M128" s="4"/>
      <c r="N128" s="212" t="str">
        <f t="shared" si="57"/>
        <v>Liners</v>
      </c>
      <c r="O128" s="236" t="str">
        <f>IF(C128="",O123,C128)</f>
        <v>-</v>
      </c>
      <c r="P128" s="213" t="str">
        <f t="shared" si="45"/>
        <v>Liners</v>
      </c>
      <c r="Q128" s="233">
        <v>1</v>
      </c>
      <c r="R128" s="215" t="str">
        <f t="shared" si="54"/>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42"/>
        <v>Well pad materials</v>
      </c>
      <c r="O129" s="418" t="str">
        <f t="shared" si="43"/>
        <v>-</v>
      </c>
      <c r="P129" s="218" t="str">
        <f t="shared" si="45"/>
        <v>Well pad materials</v>
      </c>
      <c r="Q129" s="234">
        <v>1</v>
      </c>
      <c r="R129" s="220" t="str">
        <f t="shared" si="54"/>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1.3 Summary of units used to calculate the security value by disturbance category</v>
      </c>
      <c r="K131" s="455"/>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5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55"/>
      <c r="L133" s="4"/>
      <c r="M133" s="4"/>
    </row>
    <row r="134" spans="1:20" s="14" customFormat="1" x14ac:dyDescent="0.2">
      <c r="A134" s="4"/>
      <c r="B134" s="621" t="str">
        <f>B29</f>
        <v>Flowline right of ways - By track</v>
      </c>
      <c r="C134" s="622"/>
      <c r="D134" s="622"/>
      <c r="E134" s="44" t="s">
        <v>136</v>
      </c>
      <c r="F134" s="239">
        <f t="shared" ref="F134:J169" si="67">SUMIF($P$26:$P$129,$B134,F$26:F$129)</f>
        <v>0</v>
      </c>
      <c r="G134" s="239">
        <f t="shared" si="67"/>
        <v>0</v>
      </c>
      <c r="H134" s="239">
        <f t="shared" si="67"/>
        <v>0</v>
      </c>
      <c r="I134" s="239">
        <f t="shared" si="67"/>
        <v>0</v>
      </c>
      <c r="J134" s="240">
        <f t="shared" si="67"/>
        <v>0</v>
      </c>
      <c r="K134" s="455"/>
      <c r="L134" s="4"/>
      <c r="M134" s="4"/>
    </row>
    <row r="135" spans="1:20" s="14" customFormat="1" x14ac:dyDescent="0.2">
      <c r="A135" s="4"/>
      <c r="B135" s="621" t="str">
        <f>B30</f>
        <v>Flowline right of ways - Not by track</v>
      </c>
      <c r="C135" s="622"/>
      <c r="D135" s="622"/>
      <c r="E135" s="44" t="s">
        <v>136</v>
      </c>
      <c r="F135" s="239">
        <f t="shared" si="67"/>
        <v>0</v>
      </c>
      <c r="G135" s="239">
        <f t="shared" si="67"/>
        <v>0</v>
      </c>
      <c r="H135" s="239">
        <f t="shared" si="67"/>
        <v>0</v>
      </c>
      <c r="I135" s="239">
        <f t="shared" si="67"/>
        <v>0</v>
      </c>
      <c r="J135" s="240">
        <f t="shared" si="67"/>
        <v>0</v>
      </c>
      <c r="K135" s="455"/>
      <c r="L135" s="4"/>
      <c r="M135" s="4"/>
    </row>
    <row r="136" spans="1:20" s="14" customFormat="1" x14ac:dyDescent="0.2">
      <c r="A136" s="4"/>
      <c r="B136" s="621" t="str">
        <f>B31</f>
        <v>Access track (existing)</v>
      </c>
      <c r="C136" s="622"/>
      <c r="D136" s="622"/>
      <c r="E136" s="44" t="s">
        <v>64</v>
      </c>
      <c r="F136" s="239">
        <f t="shared" si="67"/>
        <v>0</v>
      </c>
      <c r="G136" s="239">
        <f t="shared" si="67"/>
        <v>0</v>
      </c>
      <c r="H136" s="239">
        <f t="shared" si="67"/>
        <v>0</v>
      </c>
      <c r="I136" s="239">
        <f t="shared" si="67"/>
        <v>0</v>
      </c>
      <c r="J136" s="240">
        <f t="shared" si="67"/>
        <v>0</v>
      </c>
      <c r="K136" s="45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67"/>
        <v>0</v>
      </c>
      <c r="G137" s="239">
        <f t="shared" si="67"/>
        <v>0</v>
      </c>
      <c r="H137" s="239">
        <f t="shared" si="67"/>
        <v>0</v>
      </c>
      <c r="I137" s="239">
        <f t="shared" si="67"/>
        <v>0</v>
      </c>
      <c r="J137" s="240">
        <f t="shared" si="67"/>
        <v>0</v>
      </c>
      <c r="K137" s="45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67"/>
        <v>0</v>
      </c>
      <c r="G138" s="239">
        <f t="shared" si="67"/>
        <v>0</v>
      </c>
      <c r="H138" s="239">
        <f t="shared" si="67"/>
        <v>0</v>
      </c>
      <c r="I138" s="239">
        <f t="shared" si="67"/>
        <v>0</v>
      </c>
      <c r="J138" s="240">
        <f t="shared" si="67"/>
        <v>0</v>
      </c>
      <c r="K138" s="45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67"/>
        <v>0</v>
      </c>
      <c r="G139" s="239">
        <f t="shared" si="67"/>
        <v>0</v>
      </c>
      <c r="H139" s="239">
        <f t="shared" si="67"/>
        <v>0</v>
      </c>
      <c r="I139" s="239">
        <f t="shared" si="67"/>
        <v>0</v>
      </c>
      <c r="J139" s="240">
        <f t="shared" si="67"/>
        <v>0</v>
      </c>
      <c r="K139" s="45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67"/>
        <v>0</v>
      </c>
      <c r="G140" s="239">
        <f t="shared" si="67"/>
        <v>0</v>
      </c>
      <c r="H140" s="239">
        <f t="shared" si="67"/>
        <v>0</v>
      </c>
      <c r="I140" s="239">
        <f t="shared" si="67"/>
        <v>0</v>
      </c>
      <c r="J140" s="240">
        <f t="shared" si="67"/>
        <v>0</v>
      </c>
      <c r="K140" s="45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67"/>
        <v>0</v>
      </c>
      <c r="G141" s="239">
        <f t="shared" si="67"/>
        <v>0</v>
      </c>
      <c r="H141" s="239">
        <f t="shared" si="67"/>
        <v>0</v>
      </c>
      <c r="I141" s="239">
        <f t="shared" si="67"/>
        <v>0</v>
      </c>
      <c r="J141" s="240">
        <f t="shared" si="67"/>
        <v>0</v>
      </c>
      <c r="K141" s="45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67"/>
        <v>0</v>
      </c>
      <c r="G142" s="239">
        <f t="shared" si="67"/>
        <v>0</v>
      </c>
      <c r="H142" s="239">
        <f t="shared" si="67"/>
        <v>0</v>
      </c>
      <c r="I142" s="239">
        <f t="shared" si="67"/>
        <v>0</v>
      </c>
      <c r="J142" s="240">
        <f t="shared" si="67"/>
        <v>0</v>
      </c>
      <c r="K142" s="455"/>
      <c r="L142" s="4"/>
      <c r="M142" s="4"/>
      <c r="N142" s="155"/>
      <c r="O142" s="155"/>
      <c r="P142" s="155"/>
      <c r="Q142" s="155"/>
    </row>
    <row r="143" spans="1:20" s="14" customFormat="1" x14ac:dyDescent="0.2">
      <c r="A143" s="4"/>
      <c r="B143" s="621" t="str">
        <f>B52</f>
        <v>Gravel pits</v>
      </c>
      <c r="C143" s="622"/>
      <c r="D143" s="622"/>
      <c r="E143" s="44" t="s">
        <v>64</v>
      </c>
      <c r="F143" s="239">
        <f t="shared" si="67"/>
        <v>0</v>
      </c>
      <c r="G143" s="239">
        <f t="shared" si="67"/>
        <v>0</v>
      </c>
      <c r="H143" s="239">
        <f t="shared" si="67"/>
        <v>0</v>
      </c>
      <c r="I143" s="239">
        <f t="shared" si="67"/>
        <v>0</v>
      </c>
      <c r="J143" s="240">
        <f t="shared" si="67"/>
        <v>0</v>
      </c>
      <c r="K143" s="455"/>
      <c r="L143" s="4"/>
      <c r="M143" s="4"/>
      <c r="N143" s="155"/>
      <c r="O143" s="155"/>
      <c r="P143" s="155"/>
      <c r="Q143" s="155"/>
    </row>
    <row r="144" spans="1:20" s="14" customFormat="1" x14ac:dyDescent="0.2">
      <c r="A144" s="4"/>
      <c r="B144" s="621" t="str">
        <f>B56</f>
        <v>Well pad</v>
      </c>
      <c r="C144" s="622"/>
      <c r="D144" s="622"/>
      <c r="E144" s="44" t="s">
        <v>64</v>
      </c>
      <c r="F144" s="239">
        <f t="shared" si="67"/>
        <v>0</v>
      </c>
      <c r="G144" s="239">
        <f t="shared" si="67"/>
        <v>0</v>
      </c>
      <c r="H144" s="239">
        <f t="shared" si="67"/>
        <v>0</v>
      </c>
      <c r="I144" s="239">
        <f t="shared" si="67"/>
        <v>0</v>
      </c>
      <c r="J144" s="240">
        <f t="shared" si="67"/>
        <v>0</v>
      </c>
      <c r="K144" s="45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67"/>
        <v>0</v>
      </c>
      <c r="G145" s="239">
        <f t="shared" si="67"/>
        <v>0</v>
      </c>
      <c r="H145" s="239">
        <f t="shared" si="67"/>
        <v>0</v>
      </c>
      <c r="I145" s="239">
        <f t="shared" si="67"/>
        <v>0</v>
      </c>
      <c r="J145" s="240">
        <f t="shared" si="67"/>
        <v>0</v>
      </c>
      <c r="K145" s="455"/>
      <c r="L145" s="4"/>
      <c r="M145" s="4"/>
      <c r="N145" s="155"/>
      <c r="O145" s="155"/>
      <c r="P145" s="155"/>
      <c r="Q145" s="155"/>
    </row>
    <row r="146" spans="1:17" s="14" customFormat="1" x14ac:dyDescent="0.2">
      <c r="A146" s="4"/>
      <c r="B146" s="623" t="str">
        <f>CONCATENATE(B63," - ",C63)</f>
        <v>Camp - No seeding</v>
      </c>
      <c r="C146" s="624"/>
      <c r="D146" s="625"/>
      <c r="E146" s="44" t="s">
        <v>64</v>
      </c>
      <c r="F146" s="239">
        <f t="shared" si="67"/>
        <v>0</v>
      </c>
      <c r="G146" s="239">
        <f t="shared" si="67"/>
        <v>0</v>
      </c>
      <c r="H146" s="239">
        <f t="shared" si="67"/>
        <v>0</v>
      </c>
      <c r="I146" s="239">
        <f t="shared" si="67"/>
        <v>0</v>
      </c>
      <c r="J146" s="240">
        <f t="shared" si="67"/>
        <v>0</v>
      </c>
      <c r="K146" s="45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67"/>
        <v>0</v>
      </c>
      <c r="G147" s="239">
        <f t="shared" si="67"/>
        <v>0</v>
      </c>
      <c r="H147" s="239">
        <f t="shared" si="67"/>
        <v>0</v>
      </c>
      <c r="I147" s="239">
        <f t="shared" si="67"/>
        <v>0</v>
      </c>
      <c r="J147" s="240">
        <f t="shared" si="67"/>
        <v>0</v>
      </c>
      <c r="K147" s="45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67"/>
        <v>0</v>
      </c>
      <c r="G148" s="239">
        <f t="shared" si="67"/>
        <v>0</v>
      </c>
      <c r="H148" s="239">
        <f t="shared" si="67"/>
        <v>0</v>
      </c>
      <c r="I148" s="239">
        <f t="shared" si="67"/>
        <v>0</v>
      </c>
      <c r="J148" s="240">
        <f t="shared" si="67"/>
        <v>0</v>
      </c>
      <c r="K148" s="455"/>
      <c r="L148" s="4"/>
      <c r="M148" s="4"/>
      <c r="N148" s="155"/>
      <c r="O148" s="155"/>
      <c r="P148" s="155"/>
      <c r="Q148" s="155"/>
    </row>
    <row r="149" spans="1:17" s="14" customFormat="1" x14ac:dyDescent="0.2">
      <c r="A149" s="4"/>
      <c r="B149" s="623" t="str">
        <f>B77</f>
        <v>Fencing</v>
      </c>
      <c r="C149" s="624"/>
      <c r="D149" s="625"/>
      <c r="E149" s="44" t="s">
        <v>79</v>
      </c>
      <c r="F149" s="239">
        <f t="shared" si="67"/>
        <v>0</v>
      </c>
      <c r="G149" s="239">
        <f t="shared" si="67"/>
        <v>0</v>
      </c>
      <c r="H149" s="239">
        <f t="shared" si="67"/>
        <v>0</v>
      </c>
      <c r="I149" s="239">
        <f t="shared" si="67"/>
        <v>0</v>
      </c>
      <c r="J149" s="240">
        <f t="shared" si="67"/>
        <v>0</v>
      </c>
      <c r="K149" s="455"/>
      <c r="L149" s="4"/>
      <c r="M149" s="4"/>
      <c r="N149" s="155"/>
      <c r="O149" s="155"/>
      <c r="P149" s="155"/>
      <c r="Q149" s="155"/>
    </row>
    <row r="150" spans="1:17" s="14" customFormat="1" x14ac:dyDescent="0.2">
      <c r="A150" s="4"/>
      <c r="B150" s="638" t="str">
        <f>B78</f>
        <v>Groundwater bore &lt; 70m TVD</v>
      </c>
      <c r="C150" s="639"/>
      <c r="D150" s="640"/>
      <c r="E150" s="44" t="s">
        <v>82</v>
      </c>
      <c r="F150" s="239">
        <f t="shared" si="67"/>
        <v>0</v>
      </c>
      <c r="G150" s="239">
        <f t="shared" si="67"/>
        <v>0</v>
      </c>
      <c r="H150" s="239">
        <f t="shared" si="67"/>
        <v>0</v>
      </c>
      <c r="I150" s="239">
        <f t="shared" si="67"/>
        <v>0</v>
      </c>
      <c r="J150" s="240">
        <f t="shared" si="67"/>
        <v>0</v>
      </c>
      <c r="K150" s="455"/>
      <c r="L150" s="4"/>
      <c r="M150" s="4"/>
      <c r="N150" s="155"/>
      <c r="O150" s="155"/>
      <c r="P150" s="155"/>
      <c r="Q150" s="155"/>
    </row>
    <row r="151" spans="1:17" s="14" customFormat="1" x14ac:dyDescent="0.2">
      <c r="A151" s="4"/>
      <c r="B151" s="623" t="str">
        <f>B79</f>
        <v>Groundwater bore ≥ 70m TVD</v>
      </c>
      <c r="C151" s="624"/>
      <c r="D151" s="625"/>
      <c r="E151" s="44" t="s">
        <v>82</v>
      </c>
      <c r="F151" s="239">
        <f t="shared" si="67"/>
        <v>0</v>
      </c>
      <c r="G151" s="239">
        <f t="shared" si="67"/>
        <v>0</v>
      </c>
      <c r="H151" s="239">
        <f t="shared" si="67"/>
        <v>0</v>
      </c>
      <c r="I151" s="239">
        <f t="shared" si="67"/>
        <v>0</v>
      </c>
      <c r="J151" s="240">
        <f t="shared" si="67"/>
        <v>0</v>
      </c>
      <c r="K151" s="455"/>
      <c r="L151" s="4"/>
      <c r="M151" s="4"/>
      <c r="N151" s="155"/>
      <c r="O151" s="155"/>
      <c r="P151" s="155"/>
      <c r="Q151" s="155"/>
    </row>
    <row r="152" spans="1:17" s="14" customFormat="1" x14ac:dyDescent="0.2">
      <c r="A152" s="4"/>
      <c r="B152" s="621" t="str">
        <f>B80</f>
        <v>Drill sump liners</v>
      </c>
      <c r="C152" s="622"/>
      <c r="D152" s="622"/>
      <c r="E152" s="44" t="s">
        <v>82</v>
      </c>
      <c r="F152" s="239">
        <f t="shared" si="67"/>
        <v>0</v>
      </c>
      <c r="G152" s="239">
        <f t="shared" si="67"/>
        <v>0</v>
      </c>
      <c r="H152" s="239">
        <f t="shared" si="67"/>
        <v>0</v>
      </c>
      <c r="I152" s="239">
        <f t="shared" si="67"/>
        <v>0</v>
      </c>
      <c r="J152" s="240">
        <f t="shared" si="67"/>
        <v>0</v>
      </c>
      <c r="K152" s="455"/>
      <c r="L152" s="4"/>
      <c r="M152" s="4"/>
      <c r="N152" s="155"/>
      <c r="O152" s="155"/>
      <c r="P152" s="155"/>
      <c r="Q152" s="155"/>
    </row>
    <row r="153" spans="1:17" s="14" customFormat="1" ht="15.75" x14ac:dyDescent="0.2">
      <c r="A153" s="4"/>
      <c r="B153" s="623" t="str">
        <f>B81</f>
        <v>Drill sump</v>
      </c>
      <c r="C153" s="624"/>
      <c r="D153" s="624"/>
      <c r="E153" s="44" t="s">
        <v>133</v>
      </c>
      <c r="F153" s="239">
        <f t="shared" si="67"/>
        <v>0</v>
      </c>
      <c r="G153" s="239">
        <f t="shared" si="67"/>
        <v>0</v>
      </c>
      <c r="H153" s="239">
        <f t="shared" si="67"/>
        <v>0</v>
      </c>
      <c r="I153" s="239">
        <f t="shared" si="67"/>
        <v>0</v>
      </c>
      <c r="J153" s="240">
        <f t="shared" si="67"/>
        <v>0</v>
      </c>
      <c r="K153" s="455"/>
      <c r="L153" s="4"/>
      <c r="M153" s="4"/>
      <c r="N153" s="155"/>
      <c r="O153" s="155"/>
      <c r="P153" s="155"/>
      <c r="Q153" s="155"/>
    </row>
    <row r="154" spans="1:17" s="14" customFormat="1" ht="15.75" x14ac:dyDescent="0.2">
      <c r="A154" s="4"/>
      <c r="B154" s="621" t="str">
        <f>B86</f>
        <v>Flare pit</v>
      </c>
      <c r="C154" s="622"/>
      <c r="D154" s="622"/>
      <c r="E154" s="44" t="s">
        <v>133</v>
      </c>
      <c r="F154" s="239">
        <f t="shared" si="67"/>
        <v>0</v>
      </c>
      <c r="G154" s="239">
        <f t="shared" si="67"/>
        <v>0</v>
      </c>
      <c r="H154" s="239">
        <f t="shared" si="67"/>
        <v>0</v>
      </c>
      <c r="I154" s="239">
        <f t="shared" si="67"/>
        <v>0</v>
      </c>
      <c r="J154" s="240">
        <f t="shared" si="67"/>
        <v>0</v>
      </c>
      <c r="K154" s="455"/>
      <c r="L154" s="4"/>
      <c r="M154" s="4"/>
      <c r="N154" s="155"/>
      <c r="O154" s="155"/>
      <c r="P154" s="155"/>
      <c r="Q154" s="155"/>
    </row>
    <row r="155" spans="1:17" s="14" customFormat="1" x14ac:dyDescent="0.2">
      <c r="A155" s="4"/>
      <c r="B155" s="621" t="str">
        <f>B91</f>
        <v>Wastewater tank</v>
      </c>
      <c r="C155" s="622"/>
      <c r="D155" s="622"/>
      <c r="E155" s="44" t="s">
        <v>82</v>
      </c>
      <c r="F155" s="239">
        <f t="shared" si="67"/>
        <v>0</v>
      </c>
      <c r="G155" s="239">
        <f t="shared" si="67"/>
        <v>0</v>
      </c>
      <c r="H155" s="239">
        <f t="shared" si="67"/>
        <v>0</v>
      </c>
      <c r="I155" s="239">
        <f t="shared" si="67"/>
        <v>0</v>
      </c>
      <c r="J155" s="240">
        <f t="shared" si="67"/>
        <v>0</v>
      </c>
      <c r="K155" s="455"/>
      <c r="L155" s="4"/>
      <c r="M155" s="4"/>
      <c r="N155" s="155"/>
      <c r="O155" s="155"/>
      <c r="P155" s="155"/>
      <c r="Q155" s="155"/>
    </row>
    <row r="156" spans="1:17" s="14" customFormat="1" x14ac:dyDescent="0.2">
      <c r="A156" s="4"/>
      <c r="B156" s="621" t="str">
        <f>B92</f>
        <v>Wastewater treatment plant (camp)</v>
      </c>
      <c r="C156" s="622"/>
      <c r="D156" s="622"/>
      <c r="E156" s="44" t="s">
        <v>82</v>
      </c>
      <c r="F156" s="239">
        <f t="shared" si="67"/>
        <v>0</v>
      </c>
      <c r="G156" s="239">
        <f t="shared" si="67"/>
        <v>0</v>
      </c>
      <c r="H156" s="239">
        <f t="shared" si="67"/>
        <v>0</v>
      </c>
      <c r="I156" s="239">
        <f t="shared" si="67"/>
        <v>0</v>
      </c>
      <c r="J156" s="240">
        <f t="shared" si="67"/>
        <v>0</v>
      </c>
      <c r="K156" s="455"/>
      <c r="L156" s="4"/>
      <c r="M156" s="4"/>
      <c r="N156" s="155"/>
      <c r="O156" s="155"/>
      <c r="P156" s="155"/>
      <c r="Q156" s="155"/>
    </row>
    <row r="157" spans="1:17" s="14" customFormat="1" ht="15.75" x14ac:dyDescent="0.2">
      <c r="A157" s="4"/>
      <c r="B157" s="621" t="str">
        <f>B93</f>
        <v>Turkey's nest</v>
      </c>
      <c r="C157" s="622"/>
      <c r="D157" s="622"/>
      <c r="E157" s="44" t="s">
        <v>133</v>
      </c>
      <c r="F157" s="239">
        <f t="shared" si="67"/>
        <v>0</v>
      </c>
      <c r="G157" s="239">
        <f t="shared" si="67"/>
        <v>0</v>
      </c>
      <c r="H157" s="239">
        <f t="shared" si="67"/>
        <v>0</v>
      </c>
      <c r="I157" s="239">
        <f t="shared" si="67"/>
        <v>0</v>
      </c>
      <c r="J157" s="240">
        <f t="shared" si="67"/>
        <v>0</v>
      </c>
      <c r="K157" s="455"/>
      <c r="L157" s="4"/>
      <c r="M157" s="4"/>
      <c r="N157" s="155"/>
      <c r="O157" s="155"/>
      <c r="P157" s="155"/>
      <c r="Q157" s="155"/>
    </row>
    <row r="158" spans="1:17" s="14" customFormat="1" x14ac:dyDescent="0.2">
      <c r="A158" s="4"/>
      <c r="B158" s="621" t="str">
        <f>B98</f>
        <v>Camp capacity</v>
      </c>
      <c r="C158" s="622"/>
      <c r="D158" s="622"/>
      <c r="E158" s="44" t="s">
        <v>82</v>
      </c>
      <c r="F158" s="239">
        <f t="shared" si="67"/>
        <v>0</v>
      </c>
      <c r="G158" s="239">
        <f t="shared" si="67"/>
        <v>0</v>
      </c>
      <c r="H158" s="239">
        <f t="shared" si="67"/>
        <v>0</v>
      </c>
      <c r="I158" s="239">
        <f t="shared" si="67"/>
        <v>0</v>
      </c>
      <c r="J158" s="240">
        <f t="shared" si="67"/>
        <v>0</v>
      </c>
      <c r="K158" s="45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67"/>
        <v>0</v>
      </c>
      <c r="G159" s="239">
        <f t="shared" si="67"/>
        <v>0</v>
      </c>
      <c r="H159" s="239">
        <f t="shared" si="67"/>
        <v>0</v>
      </c>
      <c r="I159" s="239">
        <f t="shared" si="67"/>
        <v>0</v>
      </c>
      <c r="J159" s="240">
        <f t="shared" si="67"/>
        <v>0</v>
      </c>
      <c r="K159" s="45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67"/>
        <v>0</v>
      </c>
      <c r="G160" s="239">
        <f t="shared" si="67"/>
        <v>0</v>
      </c>
      <c r="H160" s="239">
        <f t="shared" si="67"/>
        <v>0</v>
      </c>
      <c r="I160" s="239">
        <f t="shared" si="67"/>
        <v>0</v>
      </c>
      <c r="J160" s="240">
        <f t="shared" si="67"/>
        <v>0</v>
      </c>
      <c r="K160" s="455"/>
      <c r="L160" s="4"/>
      <c r="M160" s="4"/>
      <c r="N160" s="155"/>
      <c r="O160" s="155"/>
      <c r="P160" s="155"/>
      <c r="Q160" s="155"/>
    </row>
    <row r="161" spans="1:18" s="14" customFormat="1" x14ac:dyDescent="0.2">
      <c r="A161" s="4"/>
      <c r="B161" s="621" t="str">
        <f>B104</f>
        <v>General waste</v>
      </c>
      <c r="C161" s="622"/>
      <c r="D161" s="622"/>
      <c r="E161" s="44" t="s">
        <v>177</v>
      </c>
      <c r="F161" s="239">
        <f t="shared" si="67"/>
        <v>0</v>
      </c>
      <c r="G161" s="239">
        <f t="shared" si="67"/>
        <v>0</v>
      </c>
      <c r="H161" s="239">
        <f t="shared" si="67"/>
        <v>0</v>
      </c>
      <c r="I161" s="239">
        <f t="shared" si="67"/>
        <v>0</v>
      </c>
      <c r="J161" s="240">
        <f t="shared" si="67"/>
        <v>0</v>
      </c>
      <c r="K161" s="455"/>
      <c r="L161" s="4"/>
      <c r="M161" s="4"/>
      <c r="N161" s="155"/>
      <c r="O161" s="155"/>
      <c r="P161" s="155"/>
      <c r="Q161" s="155"/>
    </row>
    <row r="162" spans="1:18" s="14" customFormat="1" x14ac:dyDescent="0.2">
      <c r="A162" s="4"/>
      <c r="B162" s="621" t="str">
        <f>B105</f>
        <v>Listed waste</v>
      </c>
      <c r="C162" s="622"/>
      <c r="D162" s="622"/>
      <c r="E162" s="44" t="s">
        <v>177</v>
      </c>
      <c r="F162" s="239">
        <f t="shared" si="67"/>
        <v>0</v>
      </c>
      <c r="G162" s="239">
        <f t="shared" si="67"/>
        <v>0</v>
      </c>
      <c r="H162" s="239">
        <f t="shared" si="67"/>
        <v>0</v>
      </c>
      <c r="I162" s="239">
        <f t="shared" si="67"/>
        <v>0</v>
      </c>
      <c r="J162" s="240">
        <f t="shared" si="67"/>
        <v>0</v>
      </c>
      <c r="K162" s="45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67"/>
        <v>0</v>
      </c>
      <c r="G163" s="239">
        <f t="shared" si="67"/>
        <v>0</v>
      </c>
      <c r="H163" s="239">
        <f t="shared" si="67"/>
        <v>0</v>
      </c>
      <c r="I163" s="239">
        <f t="shared" si="67"/>
        <v>0</v>
      </c>
      <c r="J163" s="240">
        <f t="shared" si="67"/>
        <v>0</v>
      </c>
      <c r="K163" s="455"/>
      <c r="L163" s="4"/>
      <c r="M163" s="4"/>
      <c r="N163" s="155"/>
      <c r="O163" s="155"/>
      <c r="P163" s="155"/>
      <c r="Q163" s="155"/>
    </row>
    <row r="164" spans="1:18" s="14" customFormat="1" x14ac:dyDescent="0.2">
      <c r="A164" s="4"/>
      <c r="B164" s="621" t="str">
        <f>B107</f>
        <v>Hydraulic Fracking Fluid</v>
      </c>
      <c r="C164" s="622"/>
      <c r="D164" s="622"/>
      <c r="E164" s="44" t="s">
        <v>181</v>
      </c>
      <c r="F164" s="239">
        <f t="shared" si="67"/>
        <v>0</v>
      </c>
      <c r="G164" s="239">
        <f t="shared" si="67"/>
        <v>0</v>
      </c>
      <c r="H164" s="239">
        <f t="shared" si="67"/>
        <v>0</v>
      </c>
      <c r="I164" s="239">
        <f t="shared" si="67"/>
        <v>0</v>
      </c>
      <c r="J164" s="240">
        <f t="shared" si="67"/>
        <v>0</v>
      </c>
      <c r="K164" s="45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67"/>
        <v>0</v>
      </c>
      <c r="G165" s="239">
        <f t="shared" si="67"/>
        <v>0</v>
      </c>
      <c r="H165" s="239">
        <f t="shared" si="67"/>
        <v>0</v>
      </c>
      <c r="I165" s="239">
        <f t="shared" si="67"/>
        <v>0</v>
      </c>
      <c r="J165" s="240">
        <f t="shared" si="67"/>
        <v>0</v>
      </c>
      <c r="K165" s="45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67"/>
        <v>0</v>
      </c>
      <c r="G166" s="239">
        <f t="shared" si="67"/>
        <v>0</v>
      </c>
      <c r="H166" s="239">
        <f t="shared" si="67"/>
        <v>0</v>
      </c>
      <c r="I166" s="239">
        <f t="shared" si="67"/>
        <v>0</v>
      </c>
      <c r="J166" s="240">
        <f t="shared" si="67"/>
        <v>0</v>
      </c>
      <c r="K166" s="45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67"/>
        <v>0</v>
      </c>
      <c r="G167" s="239">
        <f t="shared" si="67"/>
        <v>0</v>
      </c>
      <c r="H167" s="239">
        <f t="shared" si="67"/>
        <v>0</v>
      </c>
      <c r="I167" s="239">
        <f t="shared" si="67"/>
        <v>0</v>
      </c>
      <c r="J167" s="240">
        <f t="shared" si="67"/>
        <v>0</v>
      </c>
      <c r="K167" s="45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67"/>
        <v>0</v>
      </c>
      <c r="G168" s="239">
        <f t="shared" si="67"/>
        <v>0</v>
      </c>
      <c r="H168" s="239">
        <f t="shared" si="67"/>
        <v>0</v>
      </c>
      <c r="I168" s="239">
        <f t="shared" si="67"/>
        <v>0</v>
      </c>
      <c r="J168" s="240">
        <f t="shared" si="67"/>
        <v>0</v>
      </c>
      <c r="K168" s="45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67"/>
        <v>0</v>
      </c>
      <c r="G169" s="499">
        <f t="shared" si="67"/>
        <v>0</v>
      </c>
      <c r="H169" s="499">
        <f t="shared" si="67"/>
        <v>0</v>
      </c>
      <c r="I169" s="499">
        <f t="shared" si="67"/>
        <v>0</v>
      </c>
      <c r="J169" s="500">
        <f t="shared" si="67"/>
        <v>0</v>
      </c>
      <c r="K169" s="455"/>
      <c r="L169" s="4"/>
      <c r="M169" s="4"/>
      <c r="N169" s="155"/>
      <c r="O169" s="155"/>
      <c r="P169" s="155"/>
      <c r="Q169" s="155"/>
    </row>
    <row r="170" spans="1:18" x14ac:dyDescent="0.2">
      <c r="B170" s="32"/>
      <c r="K170" s="455"/>
      <c r="O170" s="5"/>
      <c r="P170" s="5"/>
    </row>
    <row r="171" spans="1:18" ht="15" thickBot="1" x14ac:dyDescent="0.25">
      <c r="B171" s="207" t="str">
        <f ca="1">"Table "&amp;$N$9&amp;".4 Summary of security value by disturbance activity"</f>
        <v>Table 1.4 Summary of security value by disturbance activity</v>
      </c>
      <c r="K171" s="455"/>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5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394"/>
      <c r="L173" s="4"/>
      <c r="M173" s="4"/>
    </row>
    <row r="174" spans="1:18" s="14" customFormat="1" x14ac:dyDescent="0.2">
      <c r="A174" s="4"/>
      <c r="B174" s="129" t="s">
        <v>23</v>
      </c>
      <c r="C174" s="619" t="str">
        <f t="shared" ref="C174:C175" si="68">B134</f>
        <v>Flowline right of ways - By track</v>
      </c>
      <c r="D174" s="620"/>
      <c r="E174" s="246">
        <f>SUMIF('Unit Rates'!J:J,$C174,'Unit Rates'!F:F)</f>
        <v>1242</v>
      </c>
      <c r="F174" s="243">
        <f t="shared" ref="F174:J174" si="69">$E174*F134</f>
        <v>0</v>
      </c>
      <c r="G174" s="243">
        <f t="shared" si="69"/>
        <v>0</v>
      </c>
      <c r="H174" s="243">
        <f t="shared" si="69"/>
        <v>0</v>
      </c>
      <c r="I174" s="243">
        <f t="shared" si="69"/>
        <v>0</v>
      </c>
      <c r="J174" s="244">
        <f t="shared" si="69"/>
        <v>0</v>
      </c>
      <c r="K174" s="394"/>
      <c r="L174" s="4"/>
      <c r="M174" s="4"/>
    </row>
    <row r="175" spans="1:18" s="14" customFormat="1" x14ac:dyDescent="0.2">
      <c r="A175" s="4"/>
      <c r="B175" s="129" t="s">
        <v>23</v>
      </c>
      <c r="C175" s="619" t="str">
        <f t="shared" si="68"/>
        <v>Flowline right of ways - Not by track</v>
      </c>
      <c r="D175" s="620"/>
      <c r="E175" s="246">
        <f>SUMIF('Unit Rates'!J:J,$C175,'Unit Rates'!F:F)</f>
        <v>2484</v>
      </c>
      <c r="F175" s="243">
        <f t="shared" ref="F175:J175" si="70">$E175*F135</f>
        <v>0</v>
      </c>
      <c r="G175" s="243">
        <f t="shared" si="70"/>
        <v>0</v>
      </c>
      <c r="H175" s="243">
        <f t="shared" si="70"/>
        <v>0</v>
      </c>
      <c r="I175" s="243">
        <f t="shared" si="70"/>
        <v>0</v>
      </c>
      <c r="J175" s="244">
        <f t="shared" si="70"/>
        <v>0</v>
      </c>
      <c r="K175" s="394"/>
      <c r="L175" s="4"/>
      <c r="M175" s="4"/>
    </row>
    <row r="176" spans="1:18" s="14" customFormat="1" x14ac:dyDescent="0.2">
      <c r="A176" s="4"/>
      <c r="B176" s="129" t="s">
        <v>23</v>
      </c>
      <c r="C176" s="619" t="str">
        <f t="shared" ref="C176" si="71">B136</f>
        <v>Access track (existing)</v>
      </c>
      <c r="D176" s="620"/>
      <c r="E176" s="246">
        <f>SUMIF('Unit Rates'!J:J,$C176,'Unit Rates'!F:F)</f>
        <v>4553</v>
      </c>
      <c r="F176" s="243">
        <f t="shared" ref="F176:J185" si="72">$E176*F136</f>
        <v>0</v>
      </c>
      <c r="G176" s="243">
        <f t="shared" si="72"/>
        <v>0</v>
      </c>
      <c r="H176" s="243">
        <f t="shared" si="72"/>
        <v>0</v>
      </c>
      <c r="I176" s="243">
        <f t="shared" si="72"/>
        <v>0</v>
      </c>
      <c r="J176" s="244">
        <f t="shared" si="72"/>
        <v>0</v>
      </c>
      <c r="K176" s="394"/>
      <c r="L176" s="4"/>
      <c r="M176" s="4"/>
      <c r="N176" s="155"/>
      <c r="Q176" s="155"/>
      <c r="R176" s="155"/>
    </row>
    <row r="177" spans="1:20" s="14" customFormat="1" x14ac:dyDescent="0.2">
      <c r="A177" s="4"/>
      <c r="B177" s="129" t="s">
        <v>23</v>
      </c>
      <c r="C177" s="619" t="str">
        <f t="shared" ref="C177:C209" si="73">B137</f>
        <v>Access track (new) - No seeding</v>
      </c>
      <c r="D177" s="620"/>
      <c r="E177" s="246">
        <f>SUMIF('Unit Rates'!J:J,$C177,'Unit Rates'!F:F)</f>
        <v>3133</v>
      </c>
      <c r="F177" s="243">
        <f t="shared" si="72"/>
        <v>0</v>
      </c>
      <c r="G177" s="243">
        <f t="shared" si="72"/>
        <v>0</v>
      </c>
      <c r="H177" s="243">
        <f t="shared" si="72"/>
        <v>0</v>
      </c>
      <c r="I177" s="243">
        <f t="shared" si="72"/>
        <v>0</v>
      </c>
      <c r="J177" s="244">
        <f t="shared" si="72"/>
        <v>0</v>
      </c>
      <c r="K177" s="394"/>
      <c r="L177" s="4"/>
      <c r="M177" s="4"/>
      <c r="N177" s="155"/>
      <c r="Q177" s="155"/>
    </row>
    <row r="178" spans="1:20" s="14" customFormat="1" x14ac:dyDescent="0.2">
      <c r="A178" s="4"/>
      <c r="B178" s="129" t="s">
        <v>23</v>
      </c>
      <c r="C178" s="619" t="str">
        <f t="shared" si="73"/>
        <v>Access track (new) - With seeding</v>
      </c>
      <c r="D178" s="620"/>
      <c r="E178" s="246">
        <f>SUMIF('Unit Rates'!J:J,$C178,'Unit Rates'!F:F)</f>
        <v>3942</v>
      </c>
      <c r="F178" s="243">
        <f t="shared" si="72"/>
        <v>0</v>
      </c>
      <c r="G178" s="243">
        <f t="shared" si="72"/>
        <v>0</v>
      </c>
      <c r="H178" s="243">
        <f t="shared" si="72"/>
        <v>0</v>
      </c>
      <c r="I178" s="243">
        <f t="shared" si="72"/>
        <v>0</v>
      </c>
      <c r="J178" s="244">
        <f t="shared" si="72"/>
        <v>0</v>
      </c>
      <c r="K178" s="394"/>
      <c r="L178" s="4"/>
      <c r="M178" s="4"/>
      <c r="N178" s="155"/>
      <c r="Q178" s="155"/>
    </row>
    <row r="179" spans="1:20" s="14" customFormat="1" x14ac:dyDescent="0.2">
      <c r="A179" s="4"/>
      <c r="B179" s="129" t="s">
        <v>23</v>
      </c>
      <c r="C179" s="619" t="str">
        <f t="shared" si="73"/>
        <v>Laydown areas - With seeding, with ripping</v>
      </c>
      <c r="D179" s="620"/>
      <c r="E179" s="246">
        <f>SUMIF('Unit Rates'!J:J,$C179,'Unit Rates'!F:F)</f>
        <v>2879</v>
      </c>
      <c r="F179" s="243">
        <f t="shared" si="72"/>
        <v>0</v>
      </c>
      <c r="G179" s="243">
        <f t="shared" si="72"/>
        <v>0</v>
      </c>
      <c r="H179" s="243">
        <f t="shared" si="72"/>
        <v>0</v>
      </c>
      <c r="I179" s="243">
        <f t="shared" si="72"/>
        <v>0</v>
      </c>
      <c r="J179" s="244">
        <f t="shared" si="72"/>
        <v>0</v>
      </c>
      <c r="K179" s="394"/>
      <c r="L179" s="4"/>
      <c r="M179" s="4"/>
      <c r="N179" s="155"/>
      <c r="Q179" s="155"/>
    </row>
    <row r="180" spans="1:20" s="14" customFormat="1" x14ac:dyDescent="0.2">
      <c r="A180" s="4"/>
      <c r="B180" s="129" t="s">
        <v>23</v>
      </c>
      <c r="C180" s="619" t="str">
        <f t="shared" si="73"/>
        <v>Laydown areas - With seeding, no ripping</v>
      </c>
      <c r="D180" s="620"/>
      <c r="E180" s="246">
        <f>SUMIF('Unit Rates'!J:J,$C180,'Unit Rates'!F:F)</f>
        <v>2379</v>
      </c>
      <c r="F180" s="243">
        <f t="shared" si="72"/>
        <v>0</v>
      </c>
      <c r="G180" s="243">
        <f t="shared" si="72"/>
        <v>0</v>
      </c>
      <c r="H180" s="243">
        <f t="shared" si="72"/>
        <v>0</v>
      </c>
      <c r="I180" s="243">
        <f t="shared" si="72"/>
        <v>0</v>
      </c>
      <c r="J180" s="244">
        <f t="shared" si="72"/>
        <v>0</v>
      </c>
      <c r="K180" s="394"/>
      <c r="L180" s="4"/>
    </row>
    <row r="181" spans="1:20" s="14" customFormat="1" x14ac:dyDescent="0.2">
      <c r="A181" s="4"/>
      <c r="B181" s="129" t="s">
        <v>23</v>
      </c>
      <c r="C181" s="619" t="str">
        <f t="shared" si="73"/>
        <v>Laydown areas - No seeding, with ripping</v>
      </c>
      <c r="D181" s="620"/>
      <c r="E181" s="246">
        <f>SUMIF('Unit Rates'!J:J,$C181,'Unit Rates'!F:F)</f>
        <v>2070</v>
      </c>
      <c r="F181" s="243">
        <f t="shared" si="72"/>
        <v>0</v>
      </c>
      <c r="G181" s="243">
        <f t="shared" si="72"/>
        <v>0</v>
      </c>
      <c r="H181" s="243">
        <f t="shared" si="72"/>
        <v>0</v>
      </c>
      <c r="I181" s="243">
        <f t="shared" si="72"/>
        <v>0</v>
      </c>
      <c r="J181" s="244">
        <f t="shared" si="72"/>
        <v>0</v>
      </c>
      <c r="K181" s="394"/>
      <c r="L181" s="4"/>
    </row>
    <row r="182" spans="1:20" s="14" customFormat="1" x14ac:dyDescent="0.2">
      <c r="A182" s="4"/>
      <c r="B182" s="129" t="s">
        <v>23</v>
      </c>
      <c r="C182" s="619" t="str">
        <f t="shared" si="73"/>
        <v>Laydown areas - No seeding, no ripping</v>
      </c>
      <c r="D182" s="620"/>
      <c r="E182" s="246">
        <f>SUMIF('Unit Rates'!J:J,$C182,'Unit Rates'!F:F)</f>
        <v>1570</v>
      </c>
      <c r="F182" s="243">
        <f t="shared" si="72"/>
        <v>0</v>
      </c>
      <c r="G182" s="243">
        <f t="shared" si="72"/>
        <v>0</v>
      </c>
      <c r="H182" s="243">
        <f t="shared" si="72"/>
        <v>0</v>
      </c>
      <c r="I182" s="243">
        <f t="shared" si="72"/>
        <v>0</v>
      </c>
      <c r="J182" s="244">
        <f t="shared" si="72"/>
        <v>0</v>
      </c>
      <c r="K182" s="202"/>
      <c r="L182" s="4"/>
    </row>
    <row r="183" spans="1:20" s="14" customFormat="1" x14ac:dyDescent="0.2">
      <c r="A183" s="4"/>
      <c r="B183" s="40" t="s">
        <v>23</v>
      </c>
      <c r="C183" s="619" t="str">
        <f t="shared" si="73"/>
        <v>Gravel pits</v>
      </c>
      <c r="D183" s="620"/>
      <c r="E183" s="246">
        <f>SUMIF('Unit Rates'!J:J,$C183,'Unit Rates'!F:F)</f>
        <v>3076.67</v>
      </c>
      <c r="F183" s="243">
        <f t="shared" si="72"/>
        <v>0</v>
      </c>
      <c r="G183" s="243">
        <f t="shared" si="72"/>
        <v>0</v>
      </c>
      <c r="H183" s="243">
        <f t="shared" si="72"/>
        <v>0</v>
      </c>
      <c r="I183" s="243">
        <f t="shared" si="72"/>
        <v>0</v>
      </c>
      <c r="J183" s="244">
        <f t="shared" si="72"/>
        <v>0</v>
      </c>
      <c r="K183" s="143"/>
      <c r="L183" s="4"/>
    </row>
    <row r="184" spans="1:20" s="14" customFormat="1" x14ac:dyDescent="0.2">
      <c r="A184" s="4"/>
      <c r="B184" s="40" t="s">
        <v>23</v>
      </c>
      <c r="C184" s="619" t="str">
        <f t="shared" si="73"/>
        <v>Well pad</v>
      </c>
      <c r="D184" s="620"/>
      <c r="E184" s="246">
        <f>SUMIF('Unit Rates'!J:J,$C184,'Unit Rates'!F:F)</f>
        <v>5785</v>
      </c>
      <c r="F184" s="243">
        <f t="shared" si="72"/>
        <v>0</v>
      </c>
      <c r="G184" s="243">
        <f t="shared" si="72"/>
        <v>0</v>
      </c>
      <c r="H184" s="243">
        <f t="shared" si="72"/>
        <v>0</v>
      </c>
      <c r="I184" s="243">
        <f t="shared" si="72"/>
        <v>0</v>
      </c>
      <c r="J184" s="244">
        <f t="shared" si="72"/>
        <v>0</v>
      </c>
      <c r="K184" s="143"/>
      <c r="L184" s="4"/>
    </row>
    <row r="185" spans="1:20" s="14" customFormat="1" x14ac:dyDescent="0.2">
      <c r="A185" s="4"/>
      <c r="B185" s="40" t="s">
        <v>23</v>
      </c>
      <c r="C185" s="619" t="str">
        <f t="shared" si="73"/>
        <v>Camp - With seeding</v>
      </c>
      <c r="D185" s="620"/>
      <c r="E185" s="246">
        <f>SUMIF('Unit Rates'!J:J,$C185,'Unit Rates'!F:F)</f>
        <v>3439</v>
      </c>
      <c r="F185" s="243">
        <f t="shared" si="72"/>
        <v>0</v>
      </c>
      <c r="G185" s="243">
        <f t="shared" si="72"/>
        <v>0</v>
      </c>
      <c r="H185" s="243">
        <f t="shared" si="72"/>
        <v>0</v>
      </c>
      <c r="I185" s="243">
        <f t="shared" si="72"/>
        <v>0</v>
      </c>
      <c r="J185" s="244">
        <f t="shared" si="72"/>
        <v>0</v>
      </c>
      <c r="K185" s="143"/>
      <c r="L185" s="4"/>
    </row>
    <row r="186" spans="1:20" s="14" customFormat="1" x14ac:dyDescent="0.2">
      <c r="A186" s="4"/>
      <c r="B186" s="40" t="s">
        <v>23</v>
      </c>
      <c r="C186" s="619" t="str">
        <f t="shared" si="73"/>
        <v>Camp - No seeding</v>
      </c>
      <c r="D186" s="620"/>
      <c r="E186" s="246">
        <f>SUMIF('Unit Rates'!J:J,$C186,'Unit Rates'!F:F)</f>
        <v>2630</v>
      </c>
      <c r="F186" s="243">
        <f t="shared" ref="F186:J195" si="74">$E186*F146</f>
        <v>0</v>
      </c>
      <c r="G186" s="243">
        <f t="shared" si="74"/>
        <v>0</v>
      </c>
      <c r="H186" s="243">
        <f t="shared" si="74"/>
        <v>0</v>
      </c>
      <c r="I186" s="243">
        <f t="shared" si="74"/>
        <v>0</v>
      </c>
      <c r="J186" s="244">
        <f t="shared" si="74"/>
        <v>0</v>
      </c>
      <c r="K186" s="143"/>
      <c r="L186" s="4"/>
      <c r="M186" s="4"/>
      <c r="N186" s="4"/>
      <c r="O186" s="4"/>
      <c r="P186" s="4"/>
      <c r="Q186" s="4"/>
      <c r="R186" s="4"/>
      <c r="S186" s="4"/>
      <c r="T186" s="4"/>
    </row>
    <row r="187" spans="1:20" s="14" customFormat="1" x14ac:dyDescent="0.2">
      <c r="A187" s="4"/>
      <c r="B187" s="40" t="s">
        <v>23</v>
      </c>
      <c r="C187" s="619" t="str">
        <f t="shared" si="73"/>
        <v>Miscellaneous clearing - With seeding</v>
      </c>
      <c r="D187" s="620"/>
      <c r="E187" s="246">
        <f>SUMIF('Unit Rates'!J:J,$C187,'Unit Rates'!F:F)</f>
        <v>3439</v>
      </c>
      <c r="F187" s="243">
        <f t="shared" si="74"/>
        <v>0</v>
      </c>
      <c r="G187" s="243">
        <f t="shared" si="74"/>
        <v>0</v>
      </c>
      <c r="H187" s="243">
        <f t="shared" si="74"/>
        <v>0</v>
      </c>
      <c r="I187" s="243">
        <f t="shared" si="74"/>
        <v>0</v>
      </c>
      <c r="J187" s="244">
        <f t="shared" si="74"/>
        <v>0</v>
      </c>
      <c r="K187" s="143"/>
      <c r="L187" s="4"/>
      <c r="M187" s="4"/>
      <c r="N187" s="4"/>
      <c r="O187" s="4"/>
      <c r="P187" s="4"/>
      <c r="Q187" s="4"/>
      <c r="R187" s="4"/>
      <c r="S187" s="4"/>
      <c r="T187" s="4"/>
    </row>
    <row r="188" spans="1:20" s="14" customFormat="1" x14ac:dyDescent="0.2">
      <c r="A188" s="4"/>
      <c r="B188" s="40" t="s">
        <v>23</v>
      </c>
      <c r="C188" s="619" t="str">
        <f t="shared" si="73"/>
        <v>Miscellaneous clearing - No seeding</v>
      </c>
      <c r="D188" s="620"/>
      <c r="E188" s="246">
        <f>SUMIF('Unit Rates'!J:J,$C188,'Unit Rates'!F:F)</f>
        <v>2630</v>
      </c>
      <c r="F188" s="243">
        <f t="shared" si="74"/>
        <v>0</v>
      </c>
      <c r="G188" s="243">
        <f t="shared" si="74"/>
        <v>0</v>
      </c>
      <c r="H188" s="243">
        <f t="shared" si="74"/>
        <v>0</v>
      </c>
      <c r="I188" s="243">
        <f t="shared" si="74"/>
        <v>0</v>
      </c>
      <c r="J188" s="244">
        <f t="shared" si="74"/>
        <v>0</v>
      </c>
      <c r="K188" s="143"/>
      <c r="L188" s="4"/>
      <c r="M188" s="4"/>
      <c r="N188" s="4"/>
      <c r="O188" s="4"/>
      <c r="P188" s="4"/>
      <c r="Q188" s="4"/>
      <c r="R188" s="4"/>
      <c r="S188" s="4"/>
      <c r="T188" s="4"/>
    </row>
    <row r="189" spans="1:20" s="14" customFormat="1" x14ac:dyDescent="0.2">
      <c r="A189" s="4"/>
      <c r="B189" s="40" t="s">
        <v>32</v>
      </c>
      <c r="C189" s="619" t="str">
        <f t="shared" si="73"/>
        <v>Fencing</v>
      </c>
      <c r="D189" s="620"/>
      <c r="E189" s="247">
        <f>SUMIF('Unit Rates'!J:J,$C189,'Unit Rates'!F:F)</f>
        <v>2.5499999999999998</v>
      </c>
      <c r="F189" s="243">
        <f t="shared" si="74"/>
        <v>0</v>
      </c>
      <c r="G189" s="243">
        <f t="shared" si="74"/>
        <v>0</v>
      </c>
      <c r="H189" s="243">
        <f t="shared" si="74"/>
        <v>0</v>
      </c>
      <c r="I189" s="243">
        <f t="shared" si="74"/>
        <v>0</v>
      </c>
      <c r="J189" s="244">
        <f t="shared" si="74"/>
        <v>0</v>
      </c>
      <c r="K189" s="143"/>
      <c r="L189" s="4"/>
      <c r="M189" s="4"/>
      <c r="N189" s="4"/>
      <c r="O189" s="4"/>
      <c r="P189" s="4"/>
      <c r="Q189" s="4"/>
      <c r="R189" s="4"/>
      <c r="S189" s="4"/>
      <c r="T189" s="4"/>
    </row>
    <row r="190" spans="1:20" s="14" customFormat="1" x14ac:dyDescent="0.2">
      <c r="A190" s="4"/>
      <c r="B190" s="40" t="s">
        <v>32</v>
      </c>
      <c r="C190" s="619" t="str">
        <f t="shared" si="73"/>
        <v>Groundwater bore &lt; 70m TVD</v>
      </c>
      <c r="D190" s="620"/>
      <c r="E190" s="246">
        <f>SUMIF('Unit Rates'!J:J,$C190,'Unit Rates'!F:F)</f>
        <v>12150</v>
      </c>
      <c r="F190" s="243">
        <f t="shared" si="74"/>
        <v>0</v>
      </c>
      <c r="G190" s="243">
        <f t="shared" si="74"/>
        <v>0</v>
      </c>
      <c r="H190" s="243">
        <f t="shared" si="74"/>
        <v>0</v>
      </c>
      <c r="I190" s="243">
        <f t="shared" si="74"/>
        <v>0</v>
      </c>
      <c r="J190" s="244">
        <f t="shared" si="74"/>
        <v>0</v>
      </c>
      <c r="K190" s="143"/>
      <c r="L190" s="4"/>
      <c r="M190" s="4"/>
      <c r="N190" s="4"/>
      <c r="O190" s="4"/>
      <c r="P190" s="4"/>
      <c r="Q190" s="4"/>
      <c r="R190" s="4"/>
      <c r="S190" s="4"/>
      <c r="T190" s="4"/>
    </row>
    <row r="191" spans="1:20" s="14" customFormat="1" x14ac:dyDescent="0.2">
      <c r="A191" s="4"/>
      <c r="B191" s="40" t="s">
        <v>32</v>
      </c>
      <c r="C191" s="619" t="str">
        <f t="shared" si="73"/>
        <v>Groundwater bore ≥ 70m TVD</v>
      </c>
      <c r="D191" s="620"/>
      <c r="E191" s="246">
        <f>SUMIF('Unit Rates'!J:J,$C191,'Unit Rates'!F:F)</f>
        <v>15150</v>
      </c>
      <c r="F191" s="243">
        <f t="shared" si="74"/>
        <v>0</v>
      </c>
      <c r="G191" s="243">
        <f t="shared" si="74"/>
        <v>0</v>
      </c>
      <c r="H191" s="243">
        <f t="shared" si="74"/>
        <v>0</v>
      </c>
      <c r="I191" s="243">
        <f t="shared" si="74"/>
        <v>0</v>
      </c>
      <c r="J191" s="244">
        <f t="shared" si="74"/>
        <v>0</v>
      </c>
      <c r="K191" s="143"/>
      <c r="L191" s="4"/>
      <c r="M191" s="4"/>
      <c r="N191" s="4"/>
      <c r="Q191" s="4"/>
      <c r="R191" s="4"/>
      <c r="S191" s="4"/>
      <c r="T191" s="4"/>
    </row>
    <row r="192" spans="1:20" s="14" customFormat="1" x14ac:dyDescent="0.2">
      <c r="A192" s="4"/>
      <c r="B192" s="40" t="s">
        <v>32</v>
      </c>
      <c r="C192" s="619" t="str">
        <f t="shared" si="73"/>
        <v>Drill sump liners</v>
      </c>
      <c r="D192" s="620"/>
      <c r="E192" s="246">
        <f>SUMIF('Unit Rates'!J:J,$C192,'Unit Rates'!F:F)</f>
        <v>5050</v>
      </c>
      <c r="F192" s="243">
        <f t="shared" si="74"/>
        <v>0</v>
      </c>
      <c r="G192" s="243">
        <f t="shared" si="74"/>
        <v>0</v>
      </c>
      <c r="H192" s="243">
        <f t="shared" si="74"/>
        <v>0</v>
      </c>
      <c r="I192" s="243">
        <f t="shared" si="74"/>
        <v>0</v>
      </c>
      <c r="J192" s="244">
        <f t="shared" si="74"/>
        <v>0</v>
      </c>
      <c r="K192" s="143"/>
      <c r="L192" s="4"/>
      <c r="M192" s="4"/>
      <c r="N192" s="423">
        <v>0</v>
      </c>
      <c r="O192" s="424" t="s">
        <v>276</v>
      </c>
      <c r="R192" s="155"/>
    </row>
    <row r="193" spans="1:25" s="14" customFormat="1" x14ac:dyDescent="0.2">
      <c r="A193" s="4"/>
      <c r="B193" s="40" t="s">
        <v>32</v>
      </c>
      <c r="C193" s="619" t="str">
        <f t="shared" si="73"/>
        <v>Drill sump</v>
      </c>
      <c r="D193" s="620"/>
      <c r="E193" s="247">
        <f>SUMIF('Unit Rates'!J:J,$C193,'Unit Rates'!F:F)</f>
        <v>2.36</v>
      </c>
      <c r="F193" s="243">
        <f t="shared" si="74"/>
        <v>0</v>
      </c>
      <c r="G193" s="243">
        <f t="shared" si="74"/>
        <v>0</v>
      </c>
      <c r="H193" s="243">
        <f t="shared" si="74"/>
        <v>0</v>
      </c>
      <c r="I193" s="243">
        <f t="shared" si="74"/>
        <v>0</v>
      </c>
      <c r="J193" s="244">
        <f t="shared" si="74"/>
        <v>0</v>
      </c>
      <c r="K193" s="143"/>
      <c r="L193" s="4"/>
      <c r="M193" s="4"/>
      <c r="N193" s="151">
        <v>1</v>
      </c>
      <c r="O193" s="152" t="s">
        <v>211</v>
      </c>
      <c r="R193" s="155"/>
    </row>
    <row r="194" spans="1:25" s="14" customFormat="1" x14ac:dyDescent="0.2">
      <c r="A194" s="4"/>
      <c r="B194" s="40" t="s">
        <v>32</v>
      </c>
      <c r="C194" s="619" t="str">
        <f t="shared" si="73"/>
        <v>Flare pit</v>
      </c>
      <c r="D194" s="620"/>
      <c r="E194" s="247">
        <f>SUMIF('Unit Rates'!J:J,$C194,'Unit Rates'!F:F)</f>
        <v>2.36</v>
      </c>
      <c r="F194" s="243">
        <f t="shared" si="74"/>
        <v>0</v>
      </c>
      <c r="G194" s="243">
        <f t="shared" si="74"/>
        <v>0</v>
      </c>
      <c r="H194" s="243">
        <f t="shared" si="74"/>
        <v>0</v>
      </c>
      <c r="I194" s="243">
        <f t="shared" si="74"/>
        <v>0</v>
      </c>
      <c r="J194" s="244">
        <f t="shared" si="74"/>
        <v>0</v>
      </c>
      <c r="K194" s="143"/>
      <c r="L194" s="4"/>
      <c r="M194" s="4"/>
      <c r="N194" s="151">
        <v>2</v>
      </c>
      <c r="O194" s="152" t="s">
        <v>212</v>
      </c>
      <c r="R194" s="155"/>
    </row>
    <row r="195" spans="1:25" s="14" customFormat="1" x14ac:dyDescent="0.2">
      <c r="A195" s="4"/>
      <c r="B195" s="40" t="s">
        <v>32</v>
      </c>
      <c r="C195" s="619" t="str">
        <f t="shared" si="73"/>
        <v>Wastewater tank</v>
      </c>
      <c r="D195" s="620"/>
      <c r="E195" s="246">
        <f>SUMIF('Unit Rates'!J:J,$C195,'Unit Rates'!F:F)</f>
        <v>15100</v>
      </c>
      <c r="F195" s="243">
        <f t="shared" si="74"/>
        <v>0</v>
      </c>
      <c r="G195" s="243">
        <f t="shared" si="74"/>
        <v>0</v>
      </c>
      <c r="H195" s="243">
        <f t="shared" si="74"/>
        <v>0</v>
      </c>
      <c r="I195" s="243">
        <f t="shared" si="74"/>
        <v>0</v>
      </c>
      <c r="J195" s="244">
        <f t="shared" si="74"/>
        <v>0</v>
      </c>
      <c r="K195" s="143"/>
      <c r="L195" s="4"/>
      <c r="M195" s="4"/>
      <c r="N195" s="425">
        <v>3</v>
      </c>
      <c r="O195" s="426" t="s">
        <v>213</v>
      </c>
      <c r="R195" s="155"/>
    </row>
    <row r="196" spans="1:25" s="14" customFormat="1" x14ac:dyDescent="0.2">
      <c r="A196" s="4"/>
      <c r="B196" s="40" t="s">
        <v>32</v>
      </c>
      <c r="C196" s="619" t="str">
        <f t="shared" si="73"/>
        <v>Wastewater treatment plant (camp)</v>
      </c>
      <c r="D196" s="620"/>
      <c r="E196" s="246">
        <f>SUMIF('Unit Rates'!J:J,$C196,'Unit Rates'!F:F)</f>
        <v>7850</v>
      </c>
      <c r="F196" s="243">
        <f t="shared" ref="F196:J197" si="75">$E196*F156</f>
        <v>0</v>
      </c>
      <c r="G196" s="243">
        <f t="shared" si="75"/>
        <v>0</v>
      </c>
      <c r="H196" s="243">
        <f t="shared" si="75"/>
        <v>0</v>
      </c>
      <c r="I196" s="243">
        <f t="shared" si="75"/>
        <v>0</v>
      </c>
      <c r="J196" s="244">
        <f t="shared" si="75"/>
        <v>0</v>
      </c>
      <c r="K196" s="143"/>
      <c r="L196" s="4"/>
      <c r="M196" s="4"/>
      <c r="N196" s="425">
        <v>4</v>
      </c>
      <c r="O196" s="426" t="s">
        <v>214</v>
      </c>
      <c r="R196" s="155"/>
    </row>
    <row r="197" spans="1:25" s="14" customFormat="1" x14ac:dyDescent="0.2">
      <c r="A197" s="4"/>
      <c r="B197" s="40" t="s">
        <v>32</v>
      </c>
      <c r="C197" s="619" t="str">
        <f t="shared" si="73"/>
        <v>Turkey's nest</v>
      </c>
      <c r="D197" s="620"/>
      <c r="E197" s="247">
        <f>SUMIF('Unit Rates'!J:J,$C197,'Unit Rates'!F:F)</f>
        <v>2.36</v>
      </c>
      <c r="F197" s="243">
        <f t="shared" si="75"/>
        <v>0</v>
      </c>
      <c r="G197" s="243">
        <f t="shared" si="75"/>
        <v>0</v>
      </c>
      <c r="H197" s="243">
        <f t="shared" si="75"/>
        <v>0</v>
      </c>
      <c r="I197" s="243">
        <f t="shared" si="75"/>
        <v>0</v>
      </c>
      <c r="J197" s="244">
        <f t="shared" si="75"/>
        <v>0</v>
      </c>
      <c r="K197" s="143"/>
      <c r="L197" s="4"/>
      <c r="M197" s="4"/>
      <c r="N197" s="427">
        <v>5</v>
      </c>
      <c r="O197" s="428" t="s">
        <v>215</v>
      </c>
      <c r="P197" s="155"/>
      <c r="Q197" s="167"/>
      <c r="R197" s="155"/>
    </row>
    <row r="198" spans="1:25" s="14" customFormat="1" x14ac:dyDescent="0.2">
      <c r="A198" s="4"/>
      <c r="B198" s="40" t="s">
        <v>32</v>
      </c>
      <c r="C198" s="619" t="str">
        <f t="shared" si="73"/>
        <v>Camp capacity</v>
      </c>
      <c r="D198" s="620"/>
      <c r="E198" s="246" t="s">
        <v>210</v>
      </c>
      <c r="F198" s="243">
        <f>IF(F98&lt;21,F99*45000,(IF(AND(F98&gt;=21,F98&lt;51),F99*65000,(IF(AND(F98&gt;=51,F98&lt;101),F99*95000,(IF(AND(F98&gt;=101,F98&lt;151),F99*140000,(IF(F98&gt;=151,F99*170000,0)))))))))</f>
        <v>0</v>
      </c>
      <c r="G198" s="243">
        <f t="shared" ref="G198:J198" si="76">IF(G98&lt;21,G99*45000,(IF(AND(G98&gt;=21,G98&lt;51),G99*65000,(IF(AND(G98&gt;=51,G98&lt;101),G99*95000,(IF(AND(G98&gt;=101,G98&lt;151),G99*140000,(IF(G98&gt;=151,G99*170000,0)))))))))</f>
        <v>0</v>
      </c>
      <c r="H198" s="243">
        <f t="shared" si="76"/>
        <v>0</v>
      </c>
      <c r="I198" s="243">
        <f t="shared" si="76"/>
        <v>0</v>
      </c>
      <c r="J198" s="244">
        <f t="shared" si="76"/>
        <v>0</v>
      </c>
      <c r="K198" s="143"/>
      <c r="L198" s="4"/>
      <c r="M198" s="4"/>
      <c r="N198" s="4"/>
      <c r="O198" s="4"/>
      <c r="P198" s="4"/>
      <c r="Q198" s="4"/>
      <c r="R198" s="4"/>
      <c r="S198" s="4"/>
      <c r="T198" s="4"/>
      <c r="U198" s="4"/>
      <c r="V198" s="4"/>
      <c r="W198" s="4"/>
      <c r="X198" s="4"/>
      <c r="Y198" s="4"/>
    </row>
    <row r="199" spans="1:25" s="14" customFormat="1" x14ac:dyDescent="0.2">
      <c r="A199" s="4"/>
      <c r="B199" s="40" t="s">
        <v>32</v>
      </c>
      <c r="C199" s="619" t="str">
        <f t="shared" si="73"/>
        <v>Flowlines / pipelines - Above and below ground</v>
      </c>
      <c r="D199" s="620"/>
      <c r="E199" s="246">
        <f>SUMIF('Unit Rates'!J:J,$C199,'Unit Rates'!F:F)</f>
        <v>12.1</v>
      </c>
      <c r="F199" s="243">
        <f t="shared" ref="F199:J200" si="77">$E199*F159</f>
        <v>0</v>
      </c>
      <c r="G199" s="243">
        <f t="shared" si="77"/>
        <v>0</v>
      </c>
      <c r="H199" s="243">
        <f t="shared" si="77"/>
        <v>0</v>
      </c>
      <c r="I199" s="243">
        <f t="shared" si="77"/>
        <v>0</v>
      </c>
      <c r="J199" s="244">
        <f t="shared" si="77"/>
        <v>0</v>
      </c>
      <c r="K199" s="143"/>
      <c r="L199" s="4"/>
      <c r="M199" s="4"/>
      <c r="N199" s="4"/>
      <c r="O199" s="4"/>
      <c r="P199" s="4"/>
      <c r="Q199" s="4"/>
      <c r="R199" s="4"/>
      <c r="S199" s="4"/>
      <c r="T199" s="4"/>
      <c r="U199" s="4"/>
      <c r="V199" s="4"/>
      <c r="W199" s="4"/>
      <c r="X199" s="4"/>
      <c r="Y199" s="4"/>
    </row>
    <row r="200" spans="1:25" s="14" customFormat="1" x14ac:dyDescent="0.2">
      <c r="A200" s="4"/>
      <c r="B200" s="40" t="s">
        <v>32</v>
      </c>
      <c r="C200" s="634" t="str">
        <f t="shared" si="73"/>
        <v>Contaminated soil testing  - Per well pad</v>
      </c>
      <c r="D200" s="625"/>
      <c r="E200" s="246">
        <f>SUMIF('Unit Rates'!J:J,$C200,'Unit Rates'!F:F)</f>
        <v>65500</v>
      </c>
      <c r="F200" s="243">
        <f t="shared" si="77"/>
        <v>0</v>
      </c>
      <c r="G200" s="243">
        <f t="shared" si="77"/>
        <v>0</v>
      </c>
      <c r="H200" s="243">
        <f t="shared" si="77"/>
        <v>0</v>
      </c>
      <c r="I200" s="243">
        <f t="shared" si="77"/>
        <v>0</v>
      </c>
      <c r="J200" s="244">
        <f t="shared" si="77"/>
        <v>0</v>
      </c>
      <c r="K200" s="143"/>
      <c r="L200" s="4"/>
      <c r="M200" s="4"/>
      <c r="N200" s="4"/>
      <c r="O200" s="4"/>
      <c r="P200" s="4"/>
      <c r="Q200" s="4"/>
      <c r="R200" s="4"/>
      <c r="S200" s="4"/>
      <c r="T200" s="4"/>
      <c r="U200" s="4"/>
      <c r="V200" s="4"/>
      <c r="W200" s="4"/>
      <c r="X200" s="4"/>
      <c r="Y200" s="4"/>
    </row>
    <row r="201" spans="1:25" s="14" customFormat="1" x14ac:dyDescent="0.2">
      <c r="A201" s="4"/>
      <c r="B201" s="40" t="s">
        <v>35</v>
      </c>
      <c r="C201" s="619" t="str">
        <f t="shared" si="73"/>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143"/>
      <c r="L201" s="4"/>
      <c r="M201" s="4"/>
      <c r="N201" s="4"/>
      <c r="O201" s="4"/>
      <c r="P201" s="4"/>
      <c r="Q201" s="4"/>
      <c r="R201" s="4"/>
      <c r="S201" s="4"/>
      <c r="T201" s="4"/>
      <c r="U201" s="4"/>
      <c r="V201" s="4"/>
      <c r="W201" s="4"/>
      <c r="X201" s="4"/>
      <c r="Y201" s="4"/>
    </row>
    <row r="202" spans="1:25" s="14" customFormat="1" x14ac:dyDescent="0.2">
      <c r="A202" s="4"/>
      <c r="B202" s="40" t="s">
        <v>35</v>
      </c>
      <c r="C202" s="619" t="str">
        <f t="shared" si="73"/>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143"/>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73"/>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143"/>
      <c r="M203" s="4"/>
      <c r="N203" s="4"/>
      <c r="O203" s="39" t="s">
        <v>216</v>
      </c>
      <c r="P203" s="39" t="s">
        <v>217</v>
      </c>
      <c r="Q203" s="39" t="s">
        <v>218</v>
      </c>
      <c r="R203" s="14" t="s">
        <v>219</v>
      </c>
      <c r="S203" s="14" t="s">
        <v>220</v>
      </c>
    </row>
    <row r="204" spans="1:25" s="14" customFormat="1" x14ac:dyDescent="0.2">
      <c r="A204" s="474"/>
      <c r="B204" s="40" t="s">
        <v>35</v>
      </c>
      <c r="C204" s="619" t="str">
        <f t="shared" si="73"/>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73"/>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143"/>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73"/>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143"/>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73"/>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143"/>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73"/>
        <v>Liners</v>
      </c>
      <c r="D208" s="620"/>
      <c r="E208" s="246">
        <f>SUMIF('Unit Rates'!J:J,$C208,'Unit Rates'!F:F)</f>
        <v>9576</v>
      </c>
      <c r="F208" s="243">
        <f>$E208*F168</f>
        <v>0</v>
      </c>
      <c r="G208" s="243">
        <f>$E208*G168</f>
        <v>0</v>
      </c>
      <c r="H208" s="243">
        <f>$E208*H168</f>
        <v>0</v>
      </c>
      <c r="I208" s="243">
        <f>$E208*I168</f>
        <v>0</v>
      </c>
      <c r="J208" s="244">
        <f>$E208*J168</f>
        <v>0</v>
      </c>
      <c r="K208" s="143"/>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73"/>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191"/>
      <c r="E210" s="143"/>
      <c r="F210" s="455"/>
      <c r="G210" s="455"/>
      <c r="H210" s="455"/>
      <c r="I210" s="455"/>
      <c r="J210" s="455"/>
      <c r="K210" s="143"/>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eKFQaBHoBuhYMr7ylE5S7jD1XVXpDA0xfIRsqtZkvINgP+2hHw8R7BSfj+SaRouJlFVKNFNUbKYZFQLumSDhWQ==" saltValue="HdVKRgi1jJpzGl32MJzCNg==" spinCount="100000" sheet="1" objects="1" scenarios="1"/>
  <mergeCells count="147">
    <mergeCell ref="I5:K5"/>
    <mergeCell ref="B161:D161"/>
    <mergeCell ref="B151:D151"/>
    <mergeCell ref="B3:G3"/>
    <mergeCell ref="I11:L11"/>
    <mergeCell ref="B4:G16"/>
    <mergeCell ref="B21:L22"/>
    <mergeCell ref="B19:L20"/>
    <mergeCell ref="K26:K28"/>
    <mergeCell ref="K43:K45"/>
    <mergeCell ref="L43:L45"/>
    <mergeCell ref="B46:B48"/>
    <mergeCell ref="C46:C48"/>
    <mergeCell ref="K46:K48"/>
    <mergeCell ref="L46:L48"/>
    <mergeCell ref="B37:B39"/>
    <mergeCell ref="C37:C39"/>
    <mergeCell ref="L26:L28"/>
    <mergeCell ref="B26:B28"/>
    <mergeCell ref="C26:C28"/>
    <mergeCell ref="B136:D136"/>
    <mergeCell ref="B137:D137"/>
    <mergeCell ref="B138:D138"/>
    <mergeCell ref="B139:D139"/>
    <mergeCell ref="B140:D140"/>
    <mergeCell ref="B141:D141"/>
    <mergeCell ref="I6:K6"/>
    <mergeCell ref="I9:K9"/>
    <mergeCell ref="I8:K8"/>
    <mergeCell ref="I7:K7"/>
    <mergeCell ref="B134:D134"/>
    <mergeCell ref="B135:D135"/>
    <mergeCell ref="B34:B36"/>
    <mergeCell ref="C34:C36"/>
    <mergeCell ref="B56:B59"/>
    <mergeCell ref="B40:B42"/>
    <mergeCell ref="C40:C42"/>
    <mergeCell ref="B43:B45"/>
    <mergeCell ref="C43:C45"/>
    <mergeCell ref="C93:C97"/>
    <mergeCell ref="B81:B85"/>
    <mergeCell ref="B86:B90"/>
    <mergeCell ref="C56:C59"/>
    <mergeCell ref="B52:B55"/>
    <mergeCell ref="C52:C55"/>
    <mergeCell ref="B93:B97"/>
    <mergeCell ref="B133:D133"/>
    <mergeCell ref="B98:B99"/>
    <mergeCell ref="C31:C33"/>
    <mergeCell ref="B60:B62"/>
    <mergeCell ref="B49:B51"/>
    <mergeCell ref="C49:C51"/>
    <mergeCell ref="K49:K51"/>
    <mergeCell ref="K98:K99"/>
    <mergeCell ref="B132:D132"/>
    <mergeCell ref="K52:K55"/>
    <mergeCell ref="C98:C99"/>
    <mergeCell ref="C63:C65"/>
    <mergeCell ref="C81:C85"/>
    <mergeCell ref="C86:C90"/>
    <mergeCell ref="B63:B65"/>
    <mergeCell ref="C60:C62"/>
    <mergeCell ref="B31:B33"/>
    <mergeCell ref="K93:K97"/>
    <mergeCell ref="K86:K90"/>
    <mergeCell ref="K81:K85"/>
    <mergeCell ref="K63:K65"/>
    <mergeCell ref="B143:D143"/>
    <mergeCell ref="B148:D148"/>
    <mergeCell ref="B149:D149"/>
    <mergeCell ref="B150:D150"/>
    <mergeCell ref="C174:D174"/>
    <mergeCell ref="C175:D175"/>
    <mergeCell ref="B168:D168"/>
    <mergeCell ref="B145:D145"/>
    <mergeCell ref="B146:D146"/>
    <mergeCell ref="B147:D147"/>
    <mergeCell ref="B153:D153"/>
    <mergeCell ref="B154:D154"/>
    <mergeCell ref="B155:D155"/>
    <mergeCell ref="B156:D156"/>
    <mergeCell ref="B160:D160"/>
    <mergeCell ref="B158:D158"/>
    <mergeCell ref="B159:D159"/>
    <mergeCell ref="B152:D152"/>
    <mergeCell ref="B144:D144"/>
    <mergeCell ref="B157:D157"/>
    <mergeCell ref="B142:D142"/>
    <mergeCell ref="B163:D163"/>
    <mergeCell ref="C207:D207"/>
    <mergeCell ref="C208:D208"/>
    <mergeCell ref="C209:D209"/>
    <mergeCell ref="C183:D183"/>
    <mergeCell ref="C184:D184"/>
    <mergeCell ref="C185:D185"/>
    <mergeCell ref="C186:D186"/>
    <mergeCell ref="C187:D187"/>
    <mergeCell ref="C188:D188"/>
    <mergeCell ref="C189:D189"/>
    <mergeCell ref="C190:D190"/>
    <mergeCell ref="C191:D191"/>
    <mergeCell ref="C200:D200"/>
    <mergeCell ref="C205:D205"/>
    <mergeCell ref="C206:D206"/>
    <mergeCell ref="C198:D198"/>
    <mergeCell ref="C199:D199"/>
    <mergeCell ref="C201:D201"/>
    <mergeCell ref="C202:D202"/>
    <mergeCell ref="C203:D203"/>
    <mergeCell ref="C204:D204"/>
    <mergeCell ref="C192:D192"/>
    <mergeCell ref="C193:D193"/>
    <mergeCell ref="C194:D194"/>
    <mergeCell ref="C195:D195"/>
    <mergeCell ref="C196:D196"/>
    <mergeCell ref="C197:D197"/>
    <mergeCell ref="B164:D164"/>
    <mergeCell ref="B165:D165"/>
    <mergeCell ref="B167:D167"/>
    <mergeCell ref="B162:D162"/>
    <mergeCell ref="C177:D177"/>
    <mergeCell ref="C178:D178"/>
    <mergeCell ref="C176:D176"/>
    <mergeCell ref="B169:D169"/>
    <mergeCell ref="C173:D173"/>
    <mergeCell ref="B172:D172"/>
    <mergeCell ref="C179:D179"/>
    <mergeCell ref="C180:D180"/>
    <mergeCell ref="C181:D181"/>
    <mergeCell ref="C182:D182"/>
    <mergeCell ref="B166:D166"/>
    <mergeCell ref="I12:L15"/>
    <mergeCell ref="L63:L65"/>
    <mergeCell ref="L60:L62"/>
    <mergeCell ref="K56:K59"/>
    <mergeCell ref="L56:L59"/>
    <mergeCell ref="L52:L55"/>
    <mergeCell ref="L40:L42"/>
    <mergeCell ref="K31:K33"/>
    <mergeCell ref="K34:K36"/>
    <mergeCell ref="K37:K39"/>
    <mergeCell ref="K40:K42"/>
    <mergeCell ref="L31:L33"/>
    <mergeCell ref="L34:L36"/>
    <mergeCell ref="L37:L39"/>
    <mergeCell ref="L49:L51"/>
    <mergeCell ref="K60:K62"/>
  </mergeCells>
  <dataValidations count="2">
    <dataValidation type="list" allowBlank="1" showInputMessage="1" showErrorMessage="1" sqref="L7">
      <formula1>" ,HydrEra Facility,Westrex Facility"</formula1>
    </dataValidation>
    <dataValidation type="list" allowBlank="1" showInputMessage="1" showErrorMessage="1" sqref="F117:J117 F112:J112 F127:J127 F122:J122">
      <formula1>"0,1,2,3,4,5"</formula1>
    </dataValidation>
  </dataValidations>
  <pageMargins left="0.25" right="0.25" top="0.75" bottom="0.75" header="0.3" footer="0.3"/>
  <pageSetup paperSize="8" scale="62" fitToHeight="0" orientation="portrait" r:id="rId1"/>
  <ignoredErrors>
    <ignoredError sqref="F198:J19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225"/>
  <sheetViews>
    <sheetView zoomScaleNormal="100" workbookViewId="0">
      <selection activeCell="J207" sqref="J207"/>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485"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Title_02</v>
      </c>
      <c r="C1" s="140"/>
      <c r="K1" s="142"/>
      <c r="L1" s="140"/>
      <c r="M1" s="140"/>
      <c r="N1" s="140"/>
      <c r="O1" s="140"/>
      <c r="P1" s="140"/>
      <c r="Q1" s="140"/>
    </row>
    <row r="2" spans="1:45" x14ac:dyDescent="0.2">
      <c r="B2" s="5"/>
      <c r="J2" s="14"/>
    </row>
    <row r="3" spans="1:45" s="78" customFormat="1" ht="18" x14ac:dyDescent="0.25">
      <c r="A3" s="77"/>
      <c r="B3" s="660" t="s">
        <v>7</v>
      </c>
      <c r="C3" s="661"/>
      <c r="D3" s="661"/>
      <c r="E3" s="661"/>
      <c r="F3" s="661"/>
      <c r="G3" s="661"/>
      <c r="H3" s="14"/>
      <c r="I3" s="207" t="str">
        <f ca="1">"Table "&amp;$N$9&amp;".1 General Title details"</f>
        <v>Table 2.1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2</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485"/>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2.2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486"/>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492" t="s">
        <v>52</v>
      </c>
      <c r="C24" s="493" t="s">
        <v>54</v>
      </c>
      <c r="D24" s="37" t="s">
        <v>55</v>
      </c>
      <c r="E24" s="37"/>
      <c r="F24" s="23" t="s">
        <v>17</v>
      </c>
      <c r="G24" s="23" t="s">
        <v>150</v>
      </c>
      <c r="H24" s="23" t="s">
        <v>19</v>
      </c>
      <c r="I24" s="23" t="s">
        <v>20</v>
      </c>
      <c r="J24" s="23" t="s">
        <v>21</v>
      </c>
      <c r="K24" s="493" t="s">
        <v>2</v>
      </c>
      <c r="L24" s="494" t="s">
        <v>151</v>
      </c>
      <c r="M24" s="155"/>
      <c r="N24" s="36"/>
      <c r="O24" s="36"/>
      <c r="P24" s="36"/>
      <c r="Q24" s="36"/>
    </row>
    <row r="25" spans="1:45" s="156" customFormat="1" ht="18.75" thickBot="1" x14ac:dyDescent="0.3">
      <c r="A25" s="77"/>
      <c r="B25" s="211" t="str">
        <f ca="1">"Table "&amp;$N$9&amp;".2.1 Rehabilitation activities"</f>
        <v>Table 2.2.1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O41" si="0">IF(B26="",N25,B26)</f>
        <v>Seismic lines</v>
      </c>
      <c r="O26" s="213" t="str">
        <f>IF(C26="",O8,C26)</f>
        <v>-</v>
      </c>
      <c r="P26" s="213" t="str">
        <f t="shared" ref="P26:P67" si="1">IF(Q26=1,IF(O26&lt;&gt;"-",N26&amp;" - "&amp;O26,N26),"")</f>
        <v/>
      </c>
      <c r="Q26" s="214"/>
      <c r="R26" s="215" t="str">
        <f t="shared" ref="R26:R67"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si="0"/>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0"/>
        <v>-</v>
      </c>
      <c r="P28" s="213" t="str">
        <f t="shared" si="1"/>
        <v>Seismic lines</v>
      </c>
      <c r="Q28" s="214">
        <v>1</v>
      </c>
      <c r="R28" s="215" t="str">
        <f t="shared" si="2"/>
        <v>ha</v>
      </c>
    </row>
    <row r="29" spans="1:45" s="14" customFormat="1" ht="28.5" outlineLevel="1" x14ac:dyDescent="0.2">
      <c r="A29" s="4"/>
      <c r="B29" s="451" t="s">
        <v>277</v>
      </c>
      <c r="C29" s="488"/>
      <c r="D29" s="49" t="s">
        <v>103</v>
      </c>
      <c r="E29" s="50" t="s">
        <v>136</v>
      </c>
      <c r="F29" s="222">
        <v>0</v>
      </c>
      <c r="G29" s="222">
        <v>0</v>
      </c>
      <c r="H29" s="222">
        <v>0</v>
      </c>
      <c r="I29" s="222">
        <v>0</v>
      </c>
      <c r="J29" s="222">
        <v>0</v>
      </c>
      <c r="K29" s="473" t="s">
        <v>301</v>
      </c>
      <c r="L29" s="489"/>
      <c r="M29" s="4"/>
      <c r="N29" s="216" t="str">
        <f t="shared" si="0"/>
        <v>Flowline right of ways - By track</v>
      </c>
      <c r="O29" s="213" t="str">
        <f t="shared" si="0"/>
        <v>-</v>
      </c>
      <c r="P29" s="213" t="str">
        <f t="shared" si="1"/>
        <v>Flowline right of ways - By track</v>
      </c>
      <c r="Q29" s="214">
        <v>1</v>
      </c>
      <c r="R29" s="215" t="str">
        <f t="shared" si="2"/>
        <v>km</v>
      </c>
    </row>
    <row r="30" spans="1:45" s="14" customFormat="1" ht="28.5" outlineLevel="1" x14ac:dyDescent="0.2">
      <c r="A30" s="4"/>
      <c r="B30" s="451" t="s">
        <v>278</v>
      </c>
      <c r="C30" s="488"/>
      <c r="D30" s="49" t="s">
        <v>103</v>
      </c>
      <c r="E30" s="50" t="s">
        <v>136</v>
      </c>
      <c r="F30" s="222">
        <v>0</v>
      </c>
      <c r="G30" s="222">
        <v>0</v>
      </c>
      <c r="H30" s="222">
        <v>0</v>
      </c>
      <c r="I30" s="222">
        <v>0</v>
      </c>
      <c r="J30" s="222">
        <v>0</v>
      </c>
      <c r="K30" s="473" t="s">
        <v>301</v>
      </c>
      <c r="L30" s="489"/>
      <c r="M30" s="4"/>
      <c r="N30" s="216" t="str">
        <f t="shared" si="0"/>
        <v>Flowline right of ways - Not by track</v>
      </c>
      <c r="O30" s="213" t="str">
        <f t="shared" si="0"/>
        <v>-</v>
      </c>
      <c r="P30" s="213" t="str">
        <f t="shared" si="1"/>
        <v>Flowline right of ways - Not by track</v>
      </c>
      <c r="Q30" s="214">
        <v>1</v>
      </c>
      <c r="R30" s="215" t="str">
        <f t="shared" si="2"/>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0"/>
        <v>Access track (existing)</v>
      </c>
      <c r="O31" s="213" t="str">
        <f t="shared" si="0"/>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0"/>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0"/>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0"/>
        <v>No seeding</v>
      </c>
      <c r="P34" s="213" t="str">
        <f t="shared" si="1"/>
        <v/>
      </c>
      <c r="Q34" s="214"/>
      <c r="R34" s="215" t="str">
        <f t="shared" si="2"/>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0"/>
        <v>No seeding</v>
      </c>
      <c r="P35" s="213" t="str">
        <f t="shared" si="1"/>
        <v/>
      </c>
      <c r="Q35" s="214"/>
      <c r="R35" s="215" t="str">
        <f t="shared" si="2"/>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0"/>
        <v>No seeding</v>
      </c>
      <c r="P36" s="213" t="str">
        <f t="shared" si="1"/>
        <v>Access track (new) - No seeding</v>
      </c>
      <c r="Q36" s="214">
        <v>1</v>
      </c>
      <c r="R36" s="215" t="str">
        <f t="shared" si="2"/>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0"/>
        <v>With seeding</v>
      </c>
      <c r="P37" s="213" t="str">
        <f t="shared" si="1"/>
        <v/>
      </c>
      <c r="Q37" s="214"/>
      <c r="R37" s="215" t="str">
        <f t="shared" si="2"/>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0"/>
        <v>With seeding</v>
      </c>
      <c r="P38" s="213" t="str">
        <f t="shared" si="1"/>
        <v/>
      </c>
      <c r="Q38" s="214"/>
      <c r="R38" s="215" t="str">
        <f t="shared" si="2"/>
        <v>m</v>
      </c>
    </row>
    <row r="39" spans="1:18" s="14" customFormat="1" outlineLevel="1" x14ac:dyDescent="0.2">
      <c r="A39" s="4"/>
      <c r="B39" s="653"/>
      <c r="C39" s="641"/>
      <c r="D39" s="49" t="s">
        <v>155</v>
      </c>
      <c r="E39" s="50" t="s">
        <v>64</v>
      </c>
      <c r="F39" s="221">
        <f t="shared" ref="F39:J39" si="3">((F37*1000)*F38)/10000</f>
        <v>0</v>
      </c>
      <c r="G39" s="221">
        <f t="shared" si="3"/>
        <v>0</v>
      </c>
      <c r="H39" s="221">
        <f t="shared" si="3"/>
        <v>0</v>
      </c>
      <c r="I39" s="221">
        <f t="shared" si="3"/>
        <v>0</v>
      </c>
      <c r="J39" s="221">
        <f t="shared" si="3"/>
        <v>0</v>
      </c>
      <c r="K39" s="611"/>
      <c r="L39" s="610"/>
      <c r="M39" s="4"/>
      <c r="N39" s="216" t="str">
        <f t="shared" si="0"/>
        <v>Access track (new)</v>
      </c>
      <c r="O39" s="213" t="str">
        <f t="shared" si="0"/>
        <v>With seeding</v>
      </c>
      <c r="P39" s="213" t="str">
        <f t="shared" si="1"/>
        <v>Access track (new) - With seeding</v>
      </c>
      <c r="Q39" s="214">
        <v>1</v>
      </c>
      <c r="R39" s="215" t="str">
        <f t="shared" si="2"/>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si="0"/>
        <v>With seeding, with ripping</v>
      </c>
      <c r="P40" s="213" t="str">
        <f t="shared" si="1"/>
        <v/>
      </c>
      <c r="Q40" s="214"/>
      <c r="R40" s="215" t="str">
        <f t="shared" si="2"/>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0"/>
        <v>With seeding, with ripping</v>
      </c>
      <c r="P41" s="213" t="str">
        <f t="shared" si="1"/>
        <v/>
      </c>
      <c r="Q41" s="214"/>
      <c r="R41" s="215" t="str">
        <f t="shared" si="2"/>
        <v>m</v>
      </c>
    </row>
    <row r="42" spans="1:18" s="14" customFormat="1" outlineLevel="1" x14ac:dyDescent="0.2">
      <c r="A42" s="4"/>
      <c r="B42" s="645"/>
      <c r="C42" s="648"/>
      <c r="D42" s="49" t="s">
        <v>155</v>
      </c>
      <c r="E42" s="50" t="s">
        <v>64</v>
      </c>
      <c r="F42" s="221">
        <f>(F40*F41)/10^4</f>
        <v>0</v>
      </c>
      <c r="G42" s="221">
        <f t="shared" ref="G42:J42" si="4">(G40*G41)/10^4</f>
        <v>0</v>
      </c>
      <c r="H42" s="221">
        <f t="shared" si="4"/>
        <v>0</v>
      </c>
      <c r="I42" s="221">
        <f t="shared" si="4"/>
        <v>0</v>
      </c>
      <c r="J42" s="221">
        <f t="shared" si="4"/>
        <v>0</v>
      </c>
      <c r="K42" s="617"/>
      <c r="L42" s="614"/>
      <c r="M42" s="4"/>
      <c r="N42" s="216" t="str">
        <f t="shared" ref="N42:O57" si="5">IF(B42="",N41,B42)</f>
        <v>Laydown areas</v>
      </c>
      <c r="O42" s="213" t="str">
        <f t="shared" si="5"/>
        <v>With seeding, with ripping</v>
      </c>
      <c r="P42" s="213" t="str">
        <f t="shared" si="1"/>
        <v>Laydown areas - With seeding, with ripping</v>
      </c>
      <c r="Q42" s="214">
        <v>1</v>
      </c>
      <c r="R42" s="215" t="str">
        <f t="shared" si="2"/>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5"/>
        <v>Laydown areas</v>
      </c>
      <c r="O43" s="213" t="str">
        <f t="shared" si="5"/>
        <v>With seeding, no ripping</v>
      </c>
      <c r="P43" s="213" t="str">
        <f t="shared" si="1"/>
        <v/>
      </c>
      <c r="Q43" s="214"/>
      <c r="R43" s="215" t="str">
        <f t="shared" si="2"/>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5"/>
        <v>Laydown areas</v>
      </c>
      <c r="O44" s="213" t="str">
        <f t="shared" si="5"/>
        <v>With seeding, no ripping</v>
      </c>
      <c r="P44" s="213" t="str">
        <f t="shared" si="1"/>
        <v/>
      </c>
      <c r="Q44" s="214"/>
      <c r="R44" s="215" t="str">
        <f t="shared" si="2"/>
        <v>m</v>
      </c>
    </row>
    <row r="45" spans="1:18" s="14" customFormat="1" outlineLevel="1" x14ac:dyDescent="0.2">
      <c r="A45" s="4"/>
      <c r="B45" s="645"/>
      <c r="C45" s="648"/>
      <c r="D45" s="49" t="s">
        <v>155</v>
      </c>
      <c r="E45" s="50" t="s">
        <v>64</v>
      </c>
      <c r="F45" s="221">
        <f>(F43*F44)/10^4</f>
        <v>0</v>
      </c>
      <c r="G45" s="221">
        <f t="shared" ref="G45:J45" si="6">(G43*G44)/10^4</f>
        <v>0</v>
      </c>
      <c r="H45" s="221">
        <f t="shared" si="6"/>
        <v>0</v>
      </c>
      <c r="I45" s="221">
        <f t="shared" si="6"/>
        <v>0</v>
      </c>
      <c r="J45" s="221">
        <f t="shared" si="6"/>
        <v>0</v>
      </c>
      <c r="K45" s="617"/>
      <c r="L45" s="614"/>
      <c r="M45" s="4"/>
      <c r="N45" s="216" t="str">
        <f t="shared" si="5"/>
        <v>Laydown areas</v>
      </c>
      <c r="O45" s="213" t="str">
        <f t="shared" si="5"/>
        <v>With seeding, no ripping</v>
      </c>
      <c r="P45" s="213" t="str">
        <f t="shared" si="1"/>
        <v>Laydown areas - With seeding, no ripping</v>
      </c>
      <c r="Q45" s="214">
        <v>1</v>
      </c>
      <c r="R45" s="215" t="str">
        <f t="shared" si="2"/>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5"/>
        <v>Laydown areas</v>
      </c>
      <c r="O46" s="213" t="str">
        <f t="shared" si="5"/>
        <v>No seeding, with ripping</v>
      </c>
      <c r="P46" s="213" t="str">
        <f t="shared" si="1"/>
        <v/>
      </c>
      <c r="Q46" s="214"/>
      <c r="R46" s="215" t="str">
        <f t="shared" si="2"/>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5"/>
        <v>Laydown areas</v>
      </c>
      <c r="O47" s="213" t="str">
        <f t="shared" si="5"/>
        <v>No seeding, with ripping</v>
      </c>
      <c r="P47" s="213" t="str">
        <f t="shared" si="1"/>
        <v/>
      </c>
      <c r="Q47" s="214"/>
      <c r="R47" s="215" t="str">
        <f t="shared" si="2"/>
        <v>m</v>
      </c>
    </row>
    <row r="48" spans="1:18" s="14" customFormat="1" outlineLevel="1" x14ac:dyDescent="0.2">
      <c r="A48" s="4"/>
      <c r="B48" s="645"/>
      <c r="C48" s="648"/>
      <c r="D48" s="49" t="s">
        <v>155</v>
      </c>
      <c r="E48" s="50" t="s">
        <v>64</v>
      </c>
      <c r="F48" s="221">
        <f>(F46*F47)/10^4</f>
        <v>0</v>
      </c>
      <c r="G48" s="221">
        <f t="shared" ref="G48:J48" si="7">(G46*G47)/10^4</f>
        <v>0</v>
      </c>
      <c r="H48" s="221">
        <f t="shared" si="7"/>
        <v>0</v>
      </c>
      <c r="I48" s="221">
        <f t="shared" si="7"/>
        <v>0</v>
      </c>
      <c r="J48" s="221">
        <f t="shared" si="7"/>
        <v>0</v>
      </c>
      <c r="K48" s="617"/>
      <c r="L48" s="614"/>
      <c r="M48" s="4"/>
      <c r="N48" s="216" t="str">
        <f t="shared" si="5"/>
        <v>Laydown areas</v>
      </c>
      <c r="O48" s="213" t="str">
        <f t="shared" si="5"/>
        <v>No seeding, with ripping</v>
      </c>
      <c r="P48" s="213" t="str">
        <f t="shared" si="1"/>
        <v>Laydown areas - No seeding, with ripping</v>
      </c>
      <c r="Q48" s="214">
        <v>1</v>
      </c>
      <c r="R48" s="215" t="str">
        <f t="shared" si="2"/>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5"/>
        <v>Laydown areas</v>
      </c>
      <c r="O49" s="213" t="str">
        <f t="shared" si="5"/>
        <v>No seeding, no ripping</v>
      </c>
      <c r="P49" s="213" t="str">
        <f t="shared" si="1"/>
        <v/>
      </c>
      <c r="Q49" s="214"/>
      <c r="R49" s="215" t="str">
        <f t="shared" si="2"/>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5"/>
        <v>Laydown areas</v>
      </c>
      <c r="O50" s="213" t="str">
        <f t="shared" si="5"/>
        <v>No seeding, no ripping</v>
      </c>
      <c r="P50" s="213" t="str">
        <f t="shared" si="1"/>
        <v/>
      </c>
      <c r="Q50" s="214"/>
      <c r="R50" s="215" t="str">
        <f t="shared" si="2"/>
        <v>m</v>
      </c>
    </row>
    <row r="51" spans="1:18" s="14" customFormat="1" outlineLevel="1" x14ac:dyDescent="0.2">
      <c r="A51" s="4"/>
      <c r="B51" s="645"/>
      <c r="C51" s="648"/>
      <c r="D51" s="49" t="s">
        <v>155</v>
      </c>
      <c r="E51" s="50" t="s">
        <v>64</v>
      </c>
      <c r="F51" s="221">
        <f>(F49*F50)/10^4</f>
        <v>0</v>
      </c>
      <c r="G51" s="221">
        <f t="shared" ref="G51:J51" si="8">(G49*G50)/10^4</f>
        <v>0</v>
      </c>
      <c r="H51" s="221">
        <f t="shared" si="8"/>
        <v>0</v>
      </c>
      <c r="I51" s="221">
        <f t="shared" si="8"/>
        <v>0</v>
      </c>
      <c r="J51" s="221">
        <f t="shared" si="8"/>
        <v>0</v>
      </c>
      <c r="K51" s="617"/>
      <c r="L51" s="614"/>
      <c r="M51" s="4"/>
      <c r="N51" s="216" t="str">
        <f t="shared" si="5"/>
        <v>Laydown areas</v>
      </c>
      <c r="O51" s="213" t="str">
        <f t="shared" si="5"/>
        <v>No seeding, no ripping</v>
      </c>
      <c r="P51" s="213" t="str">
        <f t="shared" si="1"/>
        <v>Laydown areas - No seeding, no ripping</v>
      </c>
      <c r="Q51" s="214">
        <v>1</v>
      </c>
      <c r="R51" s="215" t="str">
        <f t="shared" si="2"/>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5"/>
        <v>Gravel pits</v>
      </c>
      <c r="O52" s="213" t="str">
        <f t="shared" si="5"/>
        <v>-</v>
      </c>
      <c r="P52" s="213" t="str">
        <f t="shared" si="1"/>
        <v/>
      </c>
      <c r="Q52" s="214"/>
      <c r="R52" s="215" t="str">
        <f t="shared" si="2"/>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5"/>
        <v>Gravel pits</v>
      </c>
      <c r="O53" s="213" t="str">
        <f t="shared" si="5"/>
        <v>-</v>
      </c>
      <c r="P53" s="213" t="str">
        <f t="shared" si="1"/>
        <v/>
      </c>
      <c r="Q53" s="214"/>
      <c r="R53" s="215" t="str">
        <f t="shared" si="2"/>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5"/>
        <v>Gravel pits</v>
      </c>
      <c r="O54" s="213" t="str">
        <f t="shared" si="5"/>
        <v>-</v>
      </c>
      <c r="P54" s="213" t="str">
        <f t="shared" si="1"/>
        <v/>
      </c>
      <c r="Q54" s="214"/>
      <c r="R54" s="215" t="str">
        <f t="shared" si="2"/>
        <v>m</v>
      </c>
    </row>
    <row r="55" spans="1:18" s="14" customFormat="1" outlineLevel="1" x14ac:dyDescent="0.2">
      <c r="A55" s="4"/>
      <c r="B55" s="653"/>
      <c r="C55" s="641"/>
      <c r="D55" s="49" t="s">
        <v>73</v>
      </c>
      <c r="E55" s="50" t="s">
        <v>64</v>
      </c>
      <c r="F55" s="221">
        <f>(F53*F54*F52)/10^4</f>
        <v>0</v>
      </c>
      <c r="G55" s="221">
        <f t="shared" ref="G55:J55" si="9">(G53*G54*G52)/10^4</f>
        <v>0</v>
      </c>
      <c r="H55" s="221">
        <f t="shared" si="9"/>
        <v>0</v>
      </c>
      <c r="I55" s="221">
        <f t="shared" si="9"/>
        <v>0</v>
      </c>
      <c r="J55" s="221">
        <f t="shared" si="9"/>
        <v>0</v>
      </c>
      <c r="K55" s="611"/>
      <c r="L55" s="610"/>
      <c r="M55" s="4"/>
      <c r="N55" s="216" t="str">
        <f t="shared" si="5"/>
        <v>Gravel pits</v>
      </c>
      <c r="O55" s="213" t="str">
        <f t="shared" si="5"/>
        <v>-</v>
      </c>
      <c r="P55" s="213" t="str">
        <f t="shared" si="1"/>
        <v>Gravel pits</v>
      </c>
      <c r="Q55" s="214">
        <v>1</v>
      </c>
      <c r="R55" s="215" t="str">
        <f t="shared" si="2"/>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5"/>
        <v>Well pad</v>
      </c>
      <c r="O56" s="213" t="str">
        <f t="shared" si="5"/>
        <v>-</v>
      </c>
      <c r="P56" s="213" t="str">
        <f t="shared" si="1"/>
        <v/>
      </c>
      <c r="Q56" s="214"/>
      <c r="R56" s="215" t="str">
        <f t="shared" si="2"/>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5"/>
        <v>Well pad</v>
      </c>
      <c r="O57" s="213" t="str">
        <f t="shared" si="5"/>
        <v>-</v>
      </c>
      <c r="P57" s="213" t="str">
        <f t="shared" si="1"/>
        <v/>
      </c>
      <c r="Q57" s="214"/>
      <c r="R57" s="215" t="str">
        <f t="shared" si="2"/>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ref="N58:O73" si="10">IF(B58="",N57,B58)</f>
        <v>Well pad</v>
      </c>
      <c r="O58" s="213" t="str">
        <f t="shared" si="10"/>
        <v>-</v>
      </c>
      <c r="P58" s="213" t="str">
        <f t="shared" si="1"/>
        <v/>
      </c>
      <c r="Q58" s="214"/>
      <c r="R58" s="215" t="str">
        <f t="shared" si="2"/>
        <v>m</v>
      </c>
    </row>
    <row r="59" spans="1:18" s="14" customFormat="1" outlineLevel="1" x14ac:dyDescent="0.2">
      <c r="A59" s="4"/>
      <c r="B59" s="653"/>
      <c r="C59" s="641"/>
      <c r="D59" s="49" t="s">
        <v>73</v>
      </c>
      <c r="E59" s="50" t="s">
        <v>64</v>
      </c>
      <c r="F59" s="221">
        <f>(F57*F58*F56)/10^4</f>
        <v>0</v>
      </c>
      <c r="G59" s="221">
        <f t="shared" ref="G59:J59" si="11">(G57*G58*G56)/10^4</f>
        <v>0</v>
      </c>
      <c r="H59" s="221">
        <f t="shared" si="11"/>
        <v>0</v>
      </c>
      <c r="I59" s="221">
        <f t="shared" si="11"/>
        <v>0</v>
      </c>
      <c r="J59" s="221">
        <f t="shared" si="11"/>
        <v>0</v>
      </c>
      <c r="K59" s="611"/>
      <c r="L59" s="610"/>
      <c r="M59" s="4"/>
      <c r="N59" s="216" t="str">
        <f t="shared" si="10"/>
        <v>Well pad</v>
      </c>
      <c r="O59" s="213" t="str">
        <f>IF(C59="",O58,C59)</f>
        <v>-</v>
      </c>
      <c r="P59" s="213" t="str">
        <f t="shared" si="1"/>
        <v>Well pad</v>
      </c>
      <c r="Q59" s="214">
        <v>1</v>
      </c>
      <c r="R59" s="215" t="str">
        <f t="shared" si="2"/>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0"/>
        <v>Camp</v>
      </c>
      <c r="O60" s="213" t="str">
        <f t="shared" si="10"/>
        <v>With seeding</v>
      </c>
      <c r="P60" s="213" t="str">
        <f t="shared" si="1"/>
        <v/>
      </c>
      <c r="Q60" s="214"/>
      <c r="R60" s="215" t="str">
        <f t="shared" si="2"/>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0"/>
        <v>Camp</v>
      </c>
      <c r="O61" s="213" t="str">
        <f t="shared" si="10"/>
        <v>With seeding</v>
      </c>
      <c r="P61" s="213" t="str">
        <f t="shared" si="1"/>
        <v/>
      </c>
      <c r="Q61" s="214"/>
      <c r="R61" s="215" t="str">
        <f t="shared" si="2"/>
        <v>m</v>
      </c>
    </row>
    <row r="62" spans="1:18" s="14" customFormat="1" outlineLevel="1" x14ac:dyDescent="0.2">
      <c r="A62" s="4"/>
      <c r="B62" s="642"/>
      <c r="C62" s="651"/>
      <c r="D62" s="49" t="s">
        <v>73</v>
      </c>
      <c r="E62" s="50" t="s">
        <v>64</v>
      </c>
      <c r="F62" s="221">
        <f>(F60*F61)/10^4</f>
        <v>0</v>
      </c>
      <c r="G62" s="221">
        <f t="shared" ref="G62:J62" si="12">(G60*G61)/10^4</f>
        <v>0</v>
      </c>
      <c r="H62" s="221">
        <f t="shared" si="12"/>
        <v>0</v>
      </c>
      <c r="I62" s="221">
        <f t="shared" si="12"/>
        <v>0</v>
      </c>
      <c r="J62" s="221">
        <f t="shared" si="12"/>
        <v>0</v>
      </c>
      <c r="K62" s="618"/>
      <c r="L62" s="610"/>
      <c r="M62" s="4"/>
      <c r="N62" s="216" t="str">
        <f t="shared" si="10"/>
        <v>Camp</v>
      </c>
      <c r="O62" s="213" t="str">
        <f t="shared" si="10"/>
        <v>With seeding</v>
      </c>
      <c r="P62" s="213" t="str">
        <f t="shared" si="1"/>
        <v>Camp - With seeding</v>
      </c>
      <c r="Q62" s="214">
        <v>1</v>
      </c>
      <c r="R62" s="215" t="str">
        <f t="shared" si="2"/>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0"/>
        <v>Camp</v>
      </c>
      <c r="O63" s="213" t="str">
        <f t="shared" si="10"/>
        <v>No seeding</v>
      </c>
      <c r="P63" s="213" t="str">
        <f t="shared" si="1"/>
        <v/>
      </c>
      <c r="Q63" s="214"/>
      <c r="R63" s="215" t="str">
        <f t="shared" si="2"/>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0"/>
        <v>Camp</v>
      </c>
      <c r="O64" s="213" t="str">
        <f t="shared" si="10"/>
        <v>No seeding</v>
      </c>
      <c r="P64" s="213" t="str">
        <f t="shared" si="1"/>
        <v/>
      </c>
      <c r="Q64" s="214"/>
      <c r="R64" s="215" t="str">
        <f t="shared" si="2"/>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0"/>
        <v>Camp</v>
      </c>
      <c r="O65" s="213" t="str">
        <f t="shared" si="10"/>
        <v>No seeding</v>
      </c>
      <c r="P65" s="213" t="str">
        <f t="shared" si="1"/>
        <v>Camp - No seeding</v>
      </c>
      <c r="Q65" s="214">
        <v>1</v>
      </c>
      <c r="R65" s="215" t="str">
        <f t="shared" si="2"/>
        <v>ha</v>
      </c>
    </row>
    <row r="66" spans="1:24" s="14" customFormat="1" ht="28.5" outlineLevel="1" x14ac:dyDescent="0.2">
      <c r="A66" s="157"/>
      <c r="B66" s="410" t="s">
        <v>76</v>
      </c>
      <c r="C66" s="411" t="s">
        <v>234</v>
      </c>
      <c r="D66" s="49" t="s">
        <v>73</v>
      </c>
      <c r="E66" s="50" t="s">
        <v>64</v>
      </c>
      <c r="F66" s="51">
        <v>0</v>
      </c>
      <c r="G66" s="51">
        <v>0</v>
      </c>
      <c r="H66" s="51">
        <v>0</v>
      </c>
      <c r="I66" s="51">
        <v>0</v>
      </c>
      <c r="J66" s="51">
        <v>0</v>
      </c>
      <c r="K66" s="487" t="s">
        <v>159</v>
      </c>
      <c r="L66" s="57"/>
      <c r="M66" s="157"/>
      <c r="N66" s="216" t="str">
        <f t="shared" si="10"/>
        <v>Miscellaneous clearing</v>
      </c>
      <c r="O66" s="213" t="str">
        <f t="shared" si="10"/>
        <v>With seeding</v>
      </c>
      <c r="P66" s="213" t="str">
        <f t="shared" si="1"/>
        <v>Miscellaneous clearing - With seeding</v>
      </c>
      <c r="Q66" s="214">
        <v>1</v>
      </c>
      <c r="R66" s="215" t="str">
        <f t="shared" si="2"/>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si="10"/>
        <v>Miscellaneous clearing</v>
      </c>
      <c r="O67" s="218" t="str">
        <f t="shared" si="10"/>
        <v>No seeding</v>
      </c>
      <c r="P67" s="218" t="str">
        <f t="shared" si="1"/>
        <v>Miscellaneous clearing - No seeding</v>
      </c>
      <c r="Q67" s="219">
        <v>1</v>
      </c>
      <c r="R67" s="220" t="str">
        <f t="shared" si="2"/>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2.2.2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P74" si="13">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si="13"/>
        <v/>
      </c>
      <c r="Q71" s="230"/>
      <c r="R71" s="231" t="str">
        <f>E71</f>
        <v>#</v>
      </c>
    </row>
    <row r="72" spans="1:24" s="159" customFormat="1" ht="28.5" outlineLevel="1" x14ac:dyDescent="0.2">
      <c r="A72" s="4"/>
      <c r="B72" s="496" t="s">
        <v>286</v>
      </c>
      <c r="C72" s="495" t="s">
        <v>70</v>
      </c>
      <c r="D72" s="64" t="s">
        <v>85</v>
      </c>
      <c r="E72" s="65" t="s">
        <v>82</v>
      </c>
      <c r="F72" s="385">
        <v>0</v>
      </c>
      <c r="G72" s="385">
        <v>0</v>
      </c>
      <c r="H72" s="385">
        <v>0</v>
      </c>
      <c r="I72" s="385">
        <v>0</v>
      </c>
      <c r="J72" s="385">
        <v>0</v>
      </c>
      <c r="K72" s="110" t="s">
        <v>161</v>
      </c>
      <c r="L72" s="57"/>
      <c r="M72" s="4"/>
      <c r="N72" s="212" t="str">
        <f t="shared" si="10"/>
        <v>Groundwater bore ≥ 70m TVD (retained)</v>
      </c>
      <c r="O72" s="419" t="str">
        <f t="shared" si="10"/>
        <v>-</v>
      </c>
      <c r="P72" s="419" t="str">
        <f t="shared" si="13"/>
        <v/>
      </c>
      <c r="Q72" s="420"/>
      <c r="R72" s="215" t="str">
        <f>E72</f>
        <v>#</v>
      </c>
    </row>
    <row r="73" spans="1:24" s="159" customFormat="1" ht="71.25" outlineLevel="1" x14ac:dyDescent="0.2">
      <c r="A73" s="4"/>
      <c r="B73" s="496" t="s">
        <v>285</v>
      </c>
      <c r="C73" s="495" t="s">
        <v>70</v>
      </c>
      <c r="D73" s="194" t="s">
        <v>162</v>
      </c>
      <c r="E73" s="67" t="s">
        <v>64</v>
      </c>
      <c r="F73" s="51">
        <v>0</v>
      </c>
      <c r="G73" s="51">
        <v>0</v>
      </c>
      <c r="H73" s="51">
        <v>0</v>
      </c>
      <c r="I73" s="51">
        <v>0</v>
      </c>
      <c r="J73" s="51">
        <v>0</v>
      </c>
      <c r="K73" s="110" t="s">
        <v>163</v>
      </c>
      <c r="L73" s="57"/>
      <c r="M73" s="4"/>
      <c r="N73" s="212" t="str">
        <f t="shared" si="10"/>
        <v>Access track (new or existing retained)</v>
      </c>
      <c r="O73" s="419" t="str">
        <f t="shared" si="10"/>
        <v>-</v>
      </c>
      <c r="P73" s="419" t="str">
        <f t="shared" si="13"/>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ref="N74:O74" si="14">IF(B74="",N73,B74)</f>
        <v>Turkey's nest (retained)</v>
      </c>
      <c r="O74" s="218" t="str">
        <f t="shared" si="14"/>
        <v>-</v>
      </c>
      <c r="P74" s="218" t="str">
        <f t="shared" si="13"/>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2.2.3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O92" si="15">IF(B77="",N76,B77)</f>
        <v>Fencing</v>
      </c>
      <c r="O77" s="229" t="str">
        <f t="shared" si="15"/>
        <v>-</v>
      </c>
      <c r="P77" s="229" t="str">
        <f>IF(Q77=1,IF(O77&lt;&gt;"-",N77&amp;" - "&amp;O77,N77),"")</f>
        <v>Fencing</v>
      </c>
      <c r="Q77" s="232">
        <v>1</v>
      </c>
      <c r="R77" s="231" t="str">
        <f t="shared" ref="R77:R101" si="16">E77</f>
        <v>m</v>
      </c>
    </row>
    <row r="78" spans="1:24" s="14" customFormat="1" ht="28.5" outlineLevel="1" x14ac:dyDescent="0.2">
      <c r="A78" s="4"/>
      <c r="B78" s="496" t="s">
        <v>80</v>
      </c>
      <c r="C78" s="495" t="s">
        <v>70</v>
      </c>
      <c r="D78" s="64" t="s">
        <v>85</v>
      </c>
      <c r="E78" s="65" t="s">
        <v>82</v>
      </c>
      <c r="F78" s="51">
        <v>0</v>
      </c>
      <c r="G78" s="51">
        <v>0</v>
      </c>
      <c r="H78" s="51">
        <v>0</v>
      </c>
      <c r="I78" s="51">
        <v>0</v>
      </c>
      <c r="J78" s="51">
        <v>0</v>
      </c>
      <c r="K78" s="110" t="s">
        <v>165</v>
      </c>
      <c r="L78" s="57"/>
      <c r="M78" s="4"/>
      <c r="N78" s="212" t="str">
        <f t="shared" si="15"/>
        <v>Groundwater bore &lt; 70m TVD</v>
      </c>
      <c r="O78" s="213" t="str">
        <f t="shared" si="15"/>
        <v>-</v>
      </c>
      <c r="P78" s="213" t="str">
        <f t="shared" ref="P78:P129" si="17">IF(Q78=1,IF(O78&lt;&gt;"-",N78&amp;" - "&amp;O78,N78),"")</f>
        <v>Groundwater bore &lt; 70m TVD</v>
      </c>
      <c r="Q78" s="233">
        <v>1</v>
      </c>
      <c r="R78" s="215" t="str">
        <f t="shared" si="16"/>
        <v>#</v>
      </c>
    </row>
    <row r="79" spans="1:24" s="14" customFormat="1" ht="28.5" outlineLevel="1" x14ac:dyDescent="0.2">
      <c r="A79" s="4"/>
      <c r="B79" s="496" t="s">
        <v>83</v>
      </c>
      <c r="C79" s="495" t="s">
        <v>70</v>
      </c>
      <c r="D79" s="64" t="s">
        <v>85</v>
      </c>
      <c r="E79" s="65" t="s">
        <v>82</v>
      </c>
      <c r="F79" s="51">
        <v>0</v>
      </c>
      <c r="G79" s="51">
        <v>0</v>
      </c>
      <c r="H79" s="51">
        <v>0</v>
      </c>
      <c r="I79" s="51">
        <v>0</v>
      </c>
      <c r="J79" s="51">
        <v>0</v>
      </c>
      <c r="K79" s="110" t="s">
        <v>166</v>
      </c>
      <c r="L79" s="57"/>
      <c r="M79" s="4"/>
      <c r="N79" s="212" t="str">
        <f t="shared" si="15"/>
        <v>Groundwater bore ≥ 70m TVD</v>
      </c>
      <c r="O79" s="213" t="str">
        <f t="shared" si="15"/>
        <v>-</v>
      </c>
      <c r="P79" s="213" t="str">
        <f t="shared" si="17"/>
        <v>Groundwater bore ≥ 70m TVD</v>
      </c>
      <c r="Q79" s="233">
        <v>1</v>
      </c>
      <c r="R79" s="215" t="str">
        <f t="shared" si="16"/>
        <v>#</v>
      </c>
    </row>
    <row r="80" spans="1:24" s="14" customFormat="1" outlineLevel="1" x14ac:dyDescent="0.2">
      <c r="A80" s="4"/>
      <c r="B80" s="496" t="s">
        <v>84</v>
      </c>
      <c r="C80" s="495" t="s">
        <v>70</v>
      </c>
      <c r="D80" s="64" t="s">
        <v>85</v>
      </c>
      <c r="E80" s="65" t="s">
        <v>82</v>
      </c>
      <c r="F80" s="51">
        <v>0</v>
      </c>
      <c r="G80" s="51">
        <v>0</v>
      </c>
      <c r="H80" s="51">
        <v>0</v>
      </c>
      <c r="I80" s="51">
        <v>0</v>
      </c>
      <c r="J80" s="51">
        <v>0</v>
      </c>
      <c r="K80" s="110" t="s">
        <v>167</v>
      </c>
      <c r="L80" s="57"/>
      <c r="M80" s="4"/>
      <c r="N80" s="212" t="str">
        <f t="shared" si="15"/>
        <v>Drill sump liners</v>
      </c>
      <c r="O80" s="213" t="str">
        <f t="shared" si="15"/>
        <v>-</v>
      </c>
      <c r="P80" s="213" t="str">
        <f t="shared" si="17"/>
        <v>Drill sump liners</v>
      </c>
      <c r="Q80" s="233">
        <v>1</v>
      </c>
      <c r="R80" s="215" t="str">
        <f t="shared" si="16"/>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15"/>
        <v>Drill sump</v>
      </c>
      <c r="O81" s="213" t="str">
        <f t="shared" si="15"/>
        <v>-</v>
      </c>
      <c r="P81" s="213" t="str">
        <f t="shared" si="17"/>
        <v/>
      </c>
      <c r="Q81" s="233"/>
      <c r="R81" s="215" t="str">
        <f t="shared" si="16"/>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15"/>
        <v>Drill sump</v>
      </c>
      <c r="O82" s="213" t="str">
        <f t="shared" si="15"/>
        <v>-</v>
      </c>
      <c r="P82" s="213" t="str">
        <f t="shared" si="17"/>
        <v/>
      </c>
      <c r="Q82" s="233"/>
      <c r="R82" s="215" t="str">
        <f t="shared" si="16"/>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15"/>
        <v>Drill sump</v>
      </c>
      <c r="O83" s="213" t="str">
        <f t="shared" si="15"/>
        <v>-</v>
      </c>
      <c r="P83" s="213" t="str">
        <f t="shared" si="17"/>
        <v/>
      </c>
      <c r="Q83" s="233"/>
      <c r="R83" s="215" t="str">
        <f t="shared" si="16"/>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15"/>
        <v>Drill sump</v>
      </c>
      <c r="O84" s="213" t="str">
        <f t="shared" si="15"/>
        <v>-</v>
      </c>
      <c r="P84" s="213" t="str">
        <f t="shared" si="17"/>
        <v/>
      </c>
      <c r="Q84" s="233"/>
      <c r="R84" s="215" t="str">
        <f t="shared" si="16"/>
        <v>m</v>
      </c>
    </row>
    <row r="85" spans="1:18" s="14" customFormat="1" ht="15.75" outlineLevel="1" x14ac:dyDescent="0.2">
      <c r="A85" s="4"/>
      <c r="B85" s="658"/>
      <c r="C85" s="652"/>
      <c r="D85" s="64" t="s">
        <v>87</v>
      </c>
      <c r="E85" s="65" t="s">
        <v>133</v>
      </c>
      <c r="F85" s="223">
        <f>F81*(F82*F83*F84)</f>
        <v>0</v>
      </c>
      <c r="G85" s="223">
        <f t="shared" ref="G85:J85" si="18">G81*(G82*G83*G84)</f>
        <v>0</v>
      </c>
      <c r="H85" s="223">
        <f t="shared" si="18"/>
        <v>0</v>
      </c>
      <c r="I85" s="223">
        <f t="shared" si="18"/>
        <v>0</v>
      </c>
      <c r="J85" s="223">
        <f t="shared" si="18"/>
        <v>0</v>
      </c>
      <c r="K85" s="654"/>
      <c r="L85" s="57"/>
      <c r="M85" s="4"/>
      <c r="N85" s="212" t="str">
        <f t="shared" si="15"/>
        <v>Drill sump</v>
      </c>
      <c r="O85" s="213" t="str">
        <f t="shared" si="15"/>
        <v>-</v>
      </c>
      <c r="P85" s="213" t="str">
        <f t="shared" si="17"/>
        <v>Drill sump</v>
      </c>
      <c r="Q85" s="233">
        <v>1</v>
      </c>
      <c r="R85" s="215" t="str">
        <f t="shared" si="16"/>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15"/>
        <v>Flare pit</v>
      </c>
      <c r="O86" s="213" t="str">
        <f t="shared" si="15"/>
        <v>-</v>
      </c>
      <c r="P86" s="213" t="str">
        <f t="shared" si="17"/>
        <v/>
      </c>
      <c r="Q86" s="233"/>
      <c r="R86" s="215" t="str">
        <f t="shared" si="16"/>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15"/>
        <v>Flare pit</v>
      </c>
      <c r="O87" s="213" t="str">
        <f t="shared" si="15"/>
        <v>-</v>
      </c>
      <c r="P87" s="213" t="str">
        <f t="shared" si="17"/>
        <v/>
      </c>
      <c r="Q87" s="233"/>
      <c r="R87" s="215" t="str">
        <f t="shared" si="16"/>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15"/>
        <v>Flare pit</v>
      </c>
      <c r="O88" s="213" t="str">
        <f t="shared" si="15"/>
        <v>-</v>
      </c>
      <c r="P88" s="213" t="str">
        <f t="shared" si="17"/>
        <v/>
      </c>
      <c r="Q88" s="233"/>
      <c r="R88" s="215" t="str">
        <f t="shared" si="16"/>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15"/>
        <v>Flare pit</v>
      </c>
      <c r="O89" s="213" t="str">
        <f t="shared" si="15"/>
        <v>-</v>
      </c>
      <c r="P89" s="213" t="str">
        <f t="shared" si="17"/>
        <v/>
      </c>
      <c r="Q89" s="233"/>
      <c r="R89" s="215" t="str">
        <f t="shared" si="16"/>
        <v>m</v>
      </c>
    </row>
    <row r="90" spans="1:18" s="14" customFormat="1" ht="15.75" outlineLevel="1" x14ac:dyDescent="0.2">
      <c r="A90" s="4"/>
      <c r="B90" s="658"/>
      <c r="C90" s="652"/>
      <c r="D90" s="64" t="s">
        <v>87</v>
      </c>
      <c r="E90" s="65" t="s">
        <v>133</v>
      </c>
      <c r="F90" s="224">
        <f>F86*(F87*F88*F89)</f>
        <v>0</v>
      </c>
      <c r="G90" s="224">
        <f t="shared" ref="G90:J90" si="19">G86*(G87*G88*G89)</f>
        <v>0</v>
      </c>
      <c r="H90" s="224">
        <f t="shared" si="19"/>
        <v>0</v>
      </c>
      <c r="I90" s="224">
        <f t="shared" si="19"/>
        <v>0</v>
      </c>
      <c r="J90" s="224">
        <f t="shared" si="19"/>
        <v>0</v>
      </c>
      <c r="K90" s="654"/>
      <c r="L90" s="57"/>
      <c r="M90" s="4"/>
      <c r="N90" s="212" t="str">
        <f t="shared" si="15"/>
        <v>Flare pit</v>
      </c>
      <c r="O90" s="213" t="str">
        <f t="shared" si="15"/>
        <v>-</v>
      </c>
      <c r="P90" s="213" t="str">
        <f t="shared" si="17"/>
        <v>Flare pit</v>
      </c>
      <c r="Q90" s="233">
        <v>1</v>
      </c>
      <c r="R90" s="215" t="str">
        <f t="shared" si="16"/>
        <v>m3</v>
      </c>
    </row>
    <row r="91" spans="1:18" s="14" customFormat="1" ht="28.5" outlineLevel="1" x14ac:dyDescent="0.2">
      <c r="A91" s="4"/>
      <c r="B91" s="496" t="s">
        <v>89</v>
      </c>
      <c r="C91" s="495" t="s">
        <v>70</v>
      </c>
      <c r="D91" s="64" t="s">
        <v>85</v>
      </c>
      <c r="E91" s="65" t="s">
        <v>82</v>
      </c>
      <c r="F91" s="222">
        <v>0</v>
      </c>
      <c r="G91" s="222">
        <v>0</v>
      </c>
      <c r="H91" s="222">
        <v>0</v>
      </c>
      <c r="I91" s="222">
        <v>0</v>
      </c>
      <c r="J91" s="222">
        <v>0</v>
      </c>
      <c r="K91" s="110" t="s">
        <v>171</v>
      </c>
      <c r="L91" s="57"/>
      <c r="M91" s="4"/>
      <c r="N91" s="212" t="str">
        <f t="shared" si="15"/>
        <v>Wastewater tank</v>
      </c>
      <c r="O91" s="213" t="str">
        <f t="shared" si="15"/>
        <v>-</v>
      </c>
      <c r="P91" s="213" t="str">
        <f t="shared" si="17"/>
        <v>Wastewater tank</v>
      </c>
      <c r="Q91" s="233">
        <v>1</v>
      </c>
      <c r="R91" s="215" t="str">
        <f t="shared" si="16"/>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si="15"/>
        <v>Wastewater treatment plant (camp)</v>
      </c>
      <c r="O92" s="213" t="str">
        <f t="shared" si="15"/>
        <v>-</v>
      </c>
      <c r="P92" s="213" t="str">
        <f t="shared" si="17"/>
        <v>Wastewater treatment plant (camp)</v>
      </c>
      <c r="Q92" s="233">
        <v>1</v>
      </c>
      <c r="R92" s="215" t="str">
        <f t="shared" si="16"/>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ref="N93:O108" si="20">IF(B93="",N92,B93)</f>
        <v>Turkey's nest</v>
      </c>
      <c r="O93" s="213" t="str">
        <f t="shared" si="20"/>
        <v>-</v>
      </c>
      <c r="P93" s="213" t="str">
        <f t="shared" si="17"/>
        <v/>
      </c>
      <c r="Q93" s="233"/>
      <c r="R93" s="215" t="str">
        <f t="shared" si="16"/>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20"/>
        <v>Turkey's nest</v>
      </c>
      <c r="O94" s="213" t="str">
        <f t="shared" si="20"/>
        <v>-</v>
      </c>
      <c r="P94" s="213" t="str">
        <f t="shared" si="17"/>
        <v/>
      </c>
      <c r="Q94" s="233"/>
      <c r="R94" s="215" t="str">
        <f t="shared" si="16"/>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20"/>
        <v>Turkey's nest</v>
      </c>
      <c r="O95" s="213" t="str">
        <f t="shared" si="20"/>
        <v>-</v>
      </c>
      <c r="P95" s="213" t="str">
        <f t="shared" si="17"/>
        <v/>
      </c>
      <c r="Q95" s="233"/>
      <c r="R95" s="215" t="str">
        <f t="shared" si="16"/>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20"/>
        <v>Turkey's nest</v>
      </c>
      <c r="O96" s="213" t="str">
        <f t="shared" si="20"/>
        <v>-</v>
      </c>
      <c r="P96" s="213" t="str">
        <f t="shared" si="17"/>
        <v/>
      </c>
      <c r="Q96" s="233"/>
      <c r="R96" s="215" t="str">
        <f t="shared" si="16"/>
        <v>m</v>
      </c>
    </row>
    <row r="97" spans="1:27" s="14" customFormat="1" ht="15.75" outlineLevel="1" x14ac:dyDescent="0.2">
      <c r="A97" s="4"/>
      <c r="B97" s="658"/>
      <c r="C97" s="652"/>
      <c r="D97" s="64" t="s">
        <v>87</v>
      </c>
      <c r="E97" s="65" t="s">
        <v>133</v>
      </c>
      <c r="F97" s="224">
        <f>F93*(F94*F95*F96)</f>
        <v>0</v>
      </c>
      <c r="G97" s="224">
        <f t="shared" ref="G97:J97" si="21">G93*(G94*G95*G96)</f>
        <v>0</v>
      </c>
      <c r="H97" s="224">
        <f t="shared" si="21"/>
        <v>0</v>
      </c>
      <c r="I97" s="224">
        <f t="shared" si="21"/>
        <v>0</v>
      </c>
      <c r="J97" s="224">
        <f t="shared" si="21"/>
        <v>0</v>
      </c>
      <c r="K97" s="654"/>
      <c r="L97" s="57"/>
      <c r="M97" s="4"/>
      <c r="N97" s="212" t="str">
        <f t="shared" si="20"/>
        <v>Turkey's nest</v>
      </c>
      <c r="O97" s="213" t="str">
        <f t="shared" si="20"/>
        <v>-</v>
      </c>
      <c r="P97" s="213" t="str">
        <f t="shared" si="17"/>
        <v>Turkey's nest</v>
      </c>
      <c r="Q97" s="233">
        <v>1</v>
      </c>
      <c r="R97" s="215" t="str">
        <f t="shared" si="16"/>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20"/>
        <v>Camp capacity</v>
      </c>
      <c r="O98" s="419" t="str">
        <f t="shared" si="20"/>
        <v>-</v>
      </c>
      <c r="P98" s="419" t="str">
        <f t="shared" si="17"/>
        <v/>
      </c>
      <c r="Q98" s="421"/>
      <c r="R98" s="215" t="str">
        <f t="shared" si="16"/>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20"/>
        <v>Camp capacity</v>
      </c>
      <c r="O99" s="419" t="str">
        <f t="shared" si="20"/>
        <v>-</v>
      </c>
      <c r="P99" s="419" t="str">
        <f t="shared" si="17"/>
        <v>Camp capacity</v>
      </c>
      <c r="Q99" s="421">
        <v>1</v>
      </c>
      <c r="R99" s="215" t="str">
        <f t="shared" si="16"/>
        <v>#</v>
      </c>
    </row>
    <row r="100" spans="1:27" s="14" customFormat="1" ht="28.5" outlineLevel="1" x14ac:dyDescent="0.2">
      <c r="A100" s="4"/>
      <c r="B100" s="496" t="s">
        <v>102</v>
      </c>
      <c r="C100" s="495" t="s">
        <v>264</v>
      </c>
      <c r="D100" s="64" t="s">
        <v>103</v>
      </c>
      <c r="E100" s="65" t="s">
        <v>79</v>
      </c>
      <c r="F100" s="222">
        <v>0</v>
      </c>
      <c r="G100" s="222">
        <v>0</v>
      </c>
      <c r="H100" s="222">
        <v>0</v>
      </c>
      <c r="I100" s="222">
        <v>0</v>
      </c>
      <c r="J100" s="222">
        <v>0</v>
      </c>
      <c r="K100" s="490" t="s">
        <v>174</v>
      </c>
      <c r="L100" s="57"/>
      <c r="M100" s="4"/>
      <c r="N100" s="212" t="str">
        <f>IF(B100="",N99,B100)</f>
        <v>Flowlines / pipelines</v>
      </c>
      <c r="O100" s="419" t="str">
        <f>IF(C100="",O99,C100)</f>
        <v>Above and below ground</v>
      </c>
      <c r="P100" s="419" t="str">
        <f t="shared" si="17"/>
        <v>Flowlines / pipelines - Above and below ground</v>
      </c>
      <c r="Q100" s="421">
        <v>1</v>
      </c>
      <c r="R100" s="215" t="str">
        <f t="shared" si="16"/>
        <v>m</v>
      </c>
    </row>
    <row r="101" spans="1:27" s="14" customFormat="1" ht="28.5" outlineLevel="1" x14ac:dyDescent="0.2">
      <c r="A101" s="4"/>
      <c r="B101" s="496" t="s">
        <v>104</v>
      </c>
      <c r="C101" s="495" t="s">
        <v>273</v>
      </c>
      <c r="D101" s="64" t="s">
        <v>85</v>
      </c>
      <c r="E101" s="65" t="s">
        <v>82</v>
      </c>
      <c r="F101" s="225">
        <f>F56</f>
        <v>0</v>
      </c>
      <c r="G101" s="225">
        <f>G56</f>
        <v>0</v>
      </c>
      <c r="H101" s="225">
        <f>H56</f>
        <v>0</v>
      </c>
      <c r="I101" s="225">
        <f>I56</f>
        <v>0</v>
      </c>
      <c r="J101" s="225">
        <f>J56</f>
        <v>0</v>
      </c>
      <c r="K101" s="490" t="s">
        <v>175</v>
      </c>
      <c r="L101" s="57"/>
      <c r="M101" s="4"/>
      <c r="N101" s="217" t="str">
        <f>IF(B101="",N100,B101)</f>
        <v xml:space="preserve">Contaminated soil testing </v>
      </c>
      <c r="O101" s="218" t="str">
        <f>IF(C101="",O100,C101)</f>
        <v>Per well pad</v>
      </c>
      <c r="P101" s="218" t="str">
        <f t="shared" si="17"/>
        <v>Contaminated soil testing  - Per well pad</v>
      </c>
      <c r="Q101" s="234">
        <v>1</v>
      </c>
      <c r="R101" s="220" t="str">
        <f t="shared" si="16"/>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2.2.4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20"/>
        <v>General waste</v>
      </c>
      <c r="O104" s="229" t="str">
        <f t="shared" si="20"/>
        <v>-</v>
      </c>
      <c r="P104" s="229" t="str">
        <f t="shared" si="17"/>
        <v>General waste</v>
      </c>
      <c r="Q104" s="232">
        <v>1</v>
      </c>
      <c r="R104" s="231" t="str">
        <f t="shared" ref="R104:R129" si="22">E104</f>
        <v>tonnes</v>
      </c>
    </row>
    <row r="105" spans="1:27" s="14" customFormat="1" ht="28.5" outlineLevel="1" x14ac:dyDescent="0.2">
      <c r="A105" s="4"/>
      <c r="B105" s="496" t="s">
        <v>109</v>
      </c>
      <c r="C105" s="196" t="s">
        <v>70</v>
      </c>
      <c r="D105" s="55" t="s">
        <v>176</v>
      </c>
      <c r="E105" s="198" t="s">
        <v>177</v>
      </c>
      <c r="F105" s="222">
        <v>0</v>
      </c>
      <c r="G105" s="222">
        <v>0</v>
      </c>
      <c r="H105" s="222">
        <v>0</v>
      </c>
      <c r="I105" s="222">
        <v>0</v>
      </c>
      <c r="J105" s="222">
        <v>0</v>
      </c>
      <c r="K105" s="110" t="s">
        <v>178</v>
      </c>
      <c r="L105" s="57"/>
      <c r="M105" s="4"/>
      <c r="N105" s="212" t="str">
        <f t="shared" si="20"/>
        <v>Listed waste</v>
      </c>
      <c r="O105" s="235" t="str">
        <f t="shared" si="20"/>
        <v>-</v>
      </c>
      <c r="P105" s="213" t="str">
        <f t="shared" si="17"/>
        <v>Listed waste</v>
      </c>
      <c r="Q105" s="233">
        <v>1</v>
      </c>
      <c r="R105" s="215" t="str">
        <f t="shared" si="22"/>
        <v>tonnes</v>
      </c>
    </row>
    <row r="106" spans="1:27" s="14" customFormat="1" outlineLevel="1" x14ac:dyDescent="0.2">
      <c r="A106" s="4"/>
      <c r="B106" s="496" t="s">
        <v>112</v>
      </c>
      <c r="C106" s="196" t="s">
        <v>70</v>
      </c>
      <c r="D106" s="194" t="s">
        <v>87</v>
      </c>
      <c r="E106" s="67" t="s">
        <v>177</v>
      </c>
      <c r="F106" s="222">
        <v>0</v>
      </c>
      <c r="G106" s="222">
        <v>0</v>
      </c>
      <c r="H106" s="222">
        <v>0</v>
      </c>
      <c r="I106" s="222">
        <v>0</v>
      </c>
      <c r="J106" s="222">
        <v>0</v>
      </c>
      <c r="K106" s="110" t="s">
        <v>113</v>
      </c>
      <c r="L106" s="57"/>
      <c r="M106" s="4"/>
      <c r="N106" s="212" t="str">
        <f t="shared" si="20"/>
        <v xml:space="preserve">Chemical waste </v>
      </c>
      <c r="O106" s="235" t="str">
        <f t="shared" si="20"/>
        <v>-</v>
      </c>
      <c r="P106" s="213" t="str">
        <f t="shared" si="17"/>
        <v xml:space="preserve">Chemical waste </v>
      </c>
      <c r="Q106" s="233">
        <v>1</v>
      </c>
      <c r="R106" s="215" t="str">
        <f t="shared" si="22"/>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20"/>
        <v>-</v>
      </c>
      <c r="P107" s="213" t="str">
        <f t="shared" si="17"/>
        <v/>
      </c>
      <c r="Q107" s="233"/>
      <c r="R107" s="215">
        <f t="shared" si="22"/>
        <v>0</v>
      </c>
    </row>
    <row r="108" spans="1:27" s="14" customFormat="1" ht="42.75" outlineLevel="1" x14ac:dyDescent="0.2">
      <c r="A108" s="4"/>
      <c r="B108" s="189" t="s">
        <v>180</v>
      </c>
      <c r="C108" s="495" t="s">
        <v>70</v>
      </c>
      <c r="D108" s="193" t="s">
        <v>87</v>
      </c>
      <c r="E108" s="198" t="s">
        <v>181</v>
      </c>
      <c r="F108" s="222">
        <v>0</v>
      </c>
      <c r="G108" s="222">
        <v>0</v>
      </c>
      <c r="H108" s="222">
        <v>0</v>
      </c>
      <c r="I108" s="222">
        <v>0</v>
      </c>
      <c r="J108" s="222">
        <v>0</v>
      </c>
      <c r="K108" s="110" t="s">
        <v>182</v>
      </c>
      <c r="L108" s="57"/>
      <c r="M108" s="4"/>
      <c r="N108" s="212" t="str">
        <f t="shared" si="20"/>
        <v>Total volume of hydraulic fracking fluid to be used</v>
      </c>
      <c r="O108" s="236" t="str">
        <f t="shared" si="20"/>
        <v>-</v>
      </c>
      <c r="P108" s="213" t="str">
        <f t="shared" si="17"/>
        <v/>
      </c>
      <c r="Q108" s="233"/>
      <c r="R108" s="215" t="str">
        <f t="shared" si="22"/>
        <v>ML</v>
      </c>
    </row>
    <row r="109" spans="1:27" s="14" customFormat="1" ht="99.75" outlineLevel="1" x14ac:dyDescent="0.2">
      <c r="A109" s="4"/>
      <c r="B109" s="189" t="s">
        <v>183</v>
      </c>
      <c r="C109" s="495" t="s">
        <v>70</v>
      </c>
      <c r="D109" s="194" t="s">
        <v>184</v>
      </c>
      <c r="E109" s="67" t="s">
        <v>185</v>
      </c>
      <c r="F109" s="190">
        <v>0</v>
      </c>
      <c r="G109" s="190">
        <v>0</v>
      </c>
      <c r="H109" s="190">
        <v>0</v>
      </c>
      <c r="I109" s="190">
        <v>0</v>
      </c>
      <c r="J109" s="190">
        <v>0</v>
      </c>
      <c r="K109" s="110" t="s">
        <v>186</v>
      </c>
      <c r="L109" s="57"/>
      <c r="M109" s="4"/>
      <c r="N109" s="212" t="str">
        <f t="shared" ref="N109:O124" si="23">IF(B109="",N108,B109)</f>
        <v>Percentage expected to return to the surface (flowback fluid)</v>
      </c>
      <c r="O109" s="236" t="str">
        <f t="shared" si="23"/>
        <v>-</v>
      </c>
      <c r="P109" s="213" t="str">
        <f t="shared" si="17"/>
        <v/>
      </c>
      <c r="Q109" s="233"/>
      <c r="R109" s="215" t="str">
        <f t="shared" si="22"/>
        <v>%</v>
      </c>
    </row>
    <row r="110" spans="1:27" s="14" customFormat="1" ht="57" outlineLevel="1" x14ac:dyDescent="0.2">
      <c r="A110" s="4"/>
      <c r="B110" s="189" t="s">
        <v>187</v>
      </c>
      <c r="C110" s="495" t="s">
        <v>70</v>
      </c>
      <c r="D110" s="194" t="s">
        <v>184</v>
      </c>
      <c r="E110" s="67" t="s">
        <v>185</v>
      </c>
      <c r="F110" s="190">
        <v>0</v>
      </c>
      <c r="G110" s="190">
        <v>0</v>
      </c>
      <c r="H110" s="190">
        <v>0</v>
      </c>
      <c r="I110" s="190">
        <v>0</v>
      </c>
      <c r="J110" s="190">
        <v>0</v>
      </c>
      <c r="K110" s="110" t="s">
        <v>188</v>
      </c>
      <c r="L110" s="57"/>
      <c r="M110" s="4"/>
      <c r="N110" s="212" t="str">
        <f t="shared" si="23"/>
        <v>Evaporation rate expected</v>
      </c>
      <c r="O110" s="236" t="str">
        <f t="shared" si="23"/>
        <v>-</v>
      </c>
      <c r="P110" s="213" t="str">
        <f t="shared" si="17"/>
        <v/>
      </c>
      <c r="Q110" s="233"/>
      <c r="R110" s="215" t="str">
        <f t="shared" si="22"/>
        <v>%</v>
      </c>
    </row>
    <row r="111" spans="1:27" s="14" customFormat="1" ht="42.75" outlineLevel="1" x14ac:dyDescent="0.2">
      <c r="A111" s="4"/>
      <c r="B111" s="189" t="s">
        <v>189</v>
      </c>
      <c r="C111" s="196" t="s">
        <v>70</v>
      </c>
      <c r="D111" s="194" t="s">
        <v>87</v>
      </c>
      <c r="E111" s="67" t="s">
        <v>181</v>
      </c>
      <c r="F111" s="459">
        <f t="shared" ref="F111:J111" si="24">(F108*F109)-((F108*F109)*F110)</f>
        <v>0</v>
      </c>
      <c r="G111" s="383">
        <f t="shared" si="24"/>
        <v>0</v>
      </c>
      <c r="H111" s="383">
        <f t="shared" si="24"/>
        <v>0</v>
      </c>
      <c r="I111" s="383">
        <f t="shared" si="24"/>
        <v>0</v>
      </c>
      <c r="J111" s="383">
        <f t="shared" si="24"/>
        <v>0</v>
      </c>
      <c r="K111" s="110" t="s">
        <v>190</v>
      </c>
      <c r="L111" s="57"/>
      <c r="M111" s="4"/>
      <c r="N111" s="212" t="str">
        <f t="shared" si="23"/>
        <v>Volume to be disposed</v>
      </c>
      <c r="O111" s="213" t="str">
        <f t="shared" si="23"/>
        <v>-</v>
      </c>
      <c r="P111" s="213" t="str">
        <f>N107</f>
        <v>Hydraulic Fracking Fluid</v>
      </c>
      <c r="Q111" s="233">
        <v>1</v>
      </c>
      <c r="R111" s="215" t="str">
        <f t="shared" si="22"/>
        <v>ML</v>
      </c>
    </row>
    <row r="112" spans="1:27" s="14" customFormat="1" ht="71.25" outlineLevel="1" x14ac:dyDescent="0.2">
      <c r="A112" s="4"/>
      <c r="B112" s="477" t="s">
        <v>302</v>
      </c>
      <c r="C112" s="495" t="s">
        <v>70</v>
      </c>
      <c r="D112" s="194" t="s">
        <v>191</v>
      </c>
      <c r="E112" s="495" t="s">
        <v>192</v>
      </c>
      <c r="F112" s="237">
        <v>0</v>
      </c>
      <c r="G112" s="237">
        <v>0</v>
      </c>
      <c r="H112" s="237">
        <v>0</v>
      </c>
      <c r="I112" s="237">
        <v>0</v>
      </c>
      <c r="J112" s="237">
        <v>0</v>
      </c>
      <c r="K112" s="110" t="s">
        <v>193</v>
      </c>
      <c r="L112" s="57"/>
      <c r="M112" s="4"/>
      <c r="N112" s="212" t="str">
        <f t="shared" si="23"/>
        <v>Expected TDS after evaporation</v>
      </c>
      <c r="O112" s="236" t="str">
        <f t="shared" si="23"/>
        <v>-</v>
      </c>
      <c r="P112" s="213" t="str">
        <f t="shared" si="17"/>
        <v/>
      </c>
      <c r="Q112" s="233"/>
      <c r="R112" s="417" t="str">
        <f t="shared" si="22"/>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23"/>
        <v>Produced water (formation water)</v>
      </c>
      <c r="O113" s="213" t="str">
        <f t="shared" si="23"/>
        <v>-</v>
      </c>
      <c r="P113" s="213" t="str">
        <f t="shared" si="17"/>
        <v/>
      </c>
      <c r="Q113" s="233"/>
      <c r="R113" s="215">
        <f t="shared" si="22"/>
        <v>0</v>
      </c>
    </row>
    <row r="114" spans="1:18" s="14" customFormat="1" ht="128.25" outlineLevel="1" x14ac:dyDescent="0.2">
      <c r="A114" s="4"/>
      <c r="B114" s="189" t="s">
        <v>195</v>
      </c>
      <c r="C114" s="495" t="s">
        <v>70</v>
      </c>
      <c r="D114" s="193" t="s">
        <v>87</v>
      </c>
      <c r="E114" s="198" t="s">
        <v>181</v>
      </c>
      <c r="F114" s="222">
        <v>0</v>
      </c>
      <c r="G114" s="222">
        <v>0</v>
      </c>
      <c r="H114" s="222">
        <v>0</v>
      </c>
      <c r="I114" s="222">
        <v>0</v>
      </c>
      <c r="J114" s="222">
        <v>0</v>
      </c>
      <c r="K114" s="110" t="s">
        <v>196</v>
      </c>
      <c r="L114" s="57"/>
      <c r="M114" s="4"/>
      <c r="N114" s="212" t="str">
        <f t="shared" si="23"/>
        <v>Expected volume of produced water</v>
      </c>
      <c r="O114" s="236" t="str">
        <f t="shared" si="23"/>
        <v>-</v>
      </c>
      <c r="P114" s="213" t="str">
        <f t="shared" si="17"/>
        <v/>
      </c>
      <c r="Q114" s="233"/>
      <c r="R114" s="215" t="str">
        <f t="shared" si="22"/>
        <v>ML</v>
      </c>
    </row>
    <row r="115" spans="1:18" s="14" customFormat="1" ht="57" outlineLevel="1" x14ac:dyDescent="0.2">
      <c r="A115" s="4"/>
      <c r="B115" s="189" t="s">
        <v>187</v>
      </c>
      <c r="C115" s="495" t="s">
        <v>70</v>
      </c>
      <c r="D115" s="194" t="s">
        <v>184</v>
      </c>
      <c r="E115" s="67" t="s">
        <v>185</v>
      </c>
      <c r="F115" s="190">
        <v>0</v>
      </c>
      <c r="G115" s="190">
        <v>0</v>
      </c>
      <c r="H115" s="190">
        <v>0</v>
      </c>
      <c r="I115" s="190">
        <v>0</v>
      </c>
      <c r="J115" s="190">
        <v>0</v>
      </c>
      <c r="K115" s="110" t="s">
        <v>188</v>
      </c>
      <c r="L115" s="57"/>
      <c r="M115" s="4"/>
      <c r="N115" s="212" t="str">
        <f t="shared" si="23"/>
        <v>Evaporation rate expected</v>
      </c>
      <c r="O115" s="236" t="str">
        <f t="shared" si="23"/>
        <v>-</v>
      </c>
      <c r="P115" s="213" t="str">
        <f t="shared" si="17"/>
        <v/>
      </c>
      <c r="Q115" s="233"/>
      <c r="R115" s="215" t="str">
        <f t="shared" si="22"/>
        <v>%</v>
      </c>
    </row>
    <row r="116" spans="1:18" s="14" customFormat="1" ht="42.75" outlineLevel="1" x14ac:dyDescent="0.2">
      <c r="A116" s="4"/>
      <c r="B116" s="189" t="s">
        <v>189</v>
      </c>
      <c r="C116" s="196" t="s">
        <v>70</v>
      </c>
      <c r="D116" s="55" t="s">
        <v>87</v>
      </c>
      <c r="E116" s="198" t="s">
        <v>181</v>
      </c>
      <c r="F116" s="383">
        <f t="shared" ref="F116:J116" si="25">F114-(F114*F115)</f>
        <v>0</v>
      </c>
      <c r="G116" s="383">
        <f t="shared" si="25"/>
        <v>0</v>
      </c>
      <c r="H116" s="383">
        <f t="shared" si="25"/>
        <v>0</v>
      </c>
      <c r="I116" s="383">
        <f t="shared" si="25"/>
        <v>0</v>
      </c>
      <c r="J116" s="383">
        <f t="shared" si="25"/>
        <v>0</v>
      </c>
      <c r="K116" s="110" t="s">
        <v>190</v>
      </c>
      <c r="L116" s="57"/>
      <c r="M116" s="4"/>
      <c r="N116" s="216" t="str">
        <f t="shared" si="23"/>
        <v>Volume to be disposed</v>
      </c>
      <c r="O116" s="236" t="str">
        <f t="shared" si="23"/>
        <v>-</v>
      </c>
      <c r="P116" s="213" t="str">
        <f>N113</f>
        <v>Produced water (formation water)</v>
      </c>
      <c r="Q116" s="233">
        <v>1</v>
      </c>
      <c r="R116" s="215" t="str">
        <f t="shared" si="22"/>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23"/>
        <v>Expected TDS after evaporation</v>
      </c>
      <c r="O117" s="236" t="str">
        <f t="shared" si="23"/>
        <v>-</v>
      </c>
      <c r="P117" s="213" t="str">
        <f t="shared" si="17"/>
        <v/>
      </c>
      <c r="Q117" s="416"/>
      <c r="R117" s="417" t="str">
        <f t="shared" si="22"/>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23"/>
        <v>Other Wastewater</v>
      </c>
      <c r="O118" s="213" t="str">
        <f t="shared" si="23"/>
        <v>-</v>
      </c>
      <c r="P118" s="213" t="str">
        <f t="shared" si="17"/>
        <v/>
      </c>
      <c r="Q118" s="233"/>
      <c r="R118" s="215">
        <f t="shared" si="22"/>
        <v>0</v>
      </c>
    </row>
    <row r="119" spans="1:18" s="14" customFormat="1" ht="42.75" outlineLevel="1" x14ac:dyDescent="0.2">
      <c r="A119" s="4"/>
      <c r="B119" s="189" t="s">
        <v>198</v>
      </c>
      <c r="C119" s="495" t="s">
        <v>70</v>
      </c>
      <c r="D119" s="193" t="s">
        <v>87</v>
      </c>
      <c r="E119" s="198" t="s">
        <v>181</v>
      </c>
      <c r="F119" s="222">
        <v>0</v>
      </c>
      <c r="G119" s="222">
        <v>0</v>
      </c>
      <c r="H119" s="222">
        <v>0</v>
      </c>
      <c r="I119" s="222">
        <v>0</v>
      </c>
      <c r="J119" s="222">
        <v>0</v>
      </c>
      <c r="K119" s="110" t="s">
        <v>199</v>
      </c>
      <c r="L119" s="57"/>
      <c r="M119" s="4"/>
      <c r="N119" s="212" t="str">
        <f t="shared" si="23"/>
        <v>Expected volume of other wastewater</v>
      </c>
      <c r="O119" s="235" t="str">
        <f t="shared" si="23"/>
        <v>-</v>
      </c>
      <c r="P119" s="213" t="str">
        <f t="shared" si="17"/>
        <v/>
      </c>
      <c r="Q119" s="233"/>
      <c r="R119" s="215" t="str">
        <f t="shared" si="22"/>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23"/>
        <v>Evaporation rate expected</v>
      </c>
      <c r="O120" s="235" t="str">
        <f t="shared" si="23"/>
        <v>-</v>
      </c>
      <c r="P120" s="213" t="str">
        <f t="shared" si="17"/>
        <v/>
      </c>
      <c r="Q120" s="233"/>
      <c r="R120" s="215" t="str">
        <f t="shared" si="22"/>
        <v>%</v>
      </c>
    </row>
    <row r="121" spans="1:18" s="14" customFormat="1" ht="44.65" customHeight="1" outlineLevel="1" x14ac:dyDescent="0.2">
      <c r="A121" s="4"/>
      <c r="B121" s="189" t="s">
        <v>189</v>
      </c>
      <c r="C121" s="495" t="s">
        <v>70</v>
      </c>
      <c r="D121" s="193" t="s">
        <v>87</v>
      </c>
      <c r="E121" s="198" t="s">
        <v>181</v>
      </c>
      <c r="F121" s="383">
        <f t="shared" ref="F121:J121" si="26">F119-(F119*F120)</f>
        <v>0</v>
      </c>
      <c r="G121" s="383">
        <f t="shared" si="26"/>
        <v>0</v>
      </c>
      <c r="H121" s="383">
        <f t="shared" si="26"/>
        <v>0</v>
      </c>
      <c r="I121" s="383">
        <f t="shared" si="26"/>
        <v>0</v>
      </c>
      <c r="J121" s="383">
        <f t="shared" si="26"/>
        <v>0</v>
      </c>
      <c r="K121" s="110" t="s">
        <v>190</v>
      </c>
      <c r="L121" s="57"/>
      <c r="M121" s="4"/>
      <c r="N121" s="212" t="str">
        <f t="shared" si="23"/>
        <v>Volume to be disposed</v>
      </c>
      <c r="O121" s="235" t="str">
        <f t="shared" si="23"/>
        <v>-</v>
      </c>
      <c r="P121" s="213" t="str">
        <f>N118</f>
        <v>Other Wastewater</v>
      </c>
      <c r="Q121" s="233">
        <v>1</v>
      </c>
      <c r="R121" s="215" t="str">
        <f t="shared" si="22"/>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23"/>
        <v>Expected TDS after evaporation</v>
      </c>
      <c r="O122" s="235" t="str">
        <f t="shared" si="23"/>
        <v>-</v>
      </c>
      <c r="P122" s="213" t="str">
        <f t="shared" si="17"/>
        <v/>
      </c>
      <c r="Q122" s="233"/>
      <c r="R122" s="417" t="str">
        <f t="shared" si="22"/>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23"/>
        <v>Drilling Muds and Cuttings</v>
      </c>
      <c r="O123" s="236" t="str">
        <f t="shared" si="23"/>
        <v>-</v>
      </c>
      <c r="P123" s="213" t="str">
        <f t="shared" si="17"/>
        <v/>
      </c>
      <c r="Q123" s="233"/>
      <c r="R123" s="215"/>
    </row>
    <row r="124" spans="1:18" s="14" customFormat="1" ht="71.650000000000006" customHeight="1" outlineLevel="1" x14ac:dyDescent="0.2">
      <c r="A124" s="4"/>
      <c r="B124" s="189" t="s">
        <v>304</v>
      </c>
      <c r="C124" s="495" t="s">
        <v>70</v>
      </c>
      <c r="D124" s="194" t="s">
        <v>87</v>
      </c>
      <c r="E124" s="67" t="s">
        <v>133</v>
      </c>
      <c r="F124" s="222">
        <v>0</v>
      </c>
      <c r="G124" s="222">
        <v>0</v>
      </c>
      <c r="H124" s="222">
        <v>0</v>
      </c>
      <c r="I124" s="222">
        <v>0</v>
      </c>
      <c r="J124" s="222">
        <v>0</v>
      </c>
      <c r="K124" s="491" t="s">
        <v>317</v>
      </c>
      <c r="L124" s="57"/>
      <c r="M124" s="4"/>
      <c r="N124" s="212" t="str">
        <f t="shared" si="23"/>
        <v>Expected volume of drilling muds and cuttings</v>
      </c>
      <c r="O124" s="236" t="str">
        <f t="shared" si="23"/>
        <v>-</v>
      </c>
      <c r="P124" s="213" t="str">
        <f t="shared" si="17"/>
        <v/>
      </c>
      <c r="Q124" s="233"/>
      <c r="R124" s="215"/>
    </row>
    <row r="125" spans="1:18" s="14" customFormat="1" ht="37.5" customHeight="1" outlineLevel="1" x14ac:dyDescent="0.2">
      <c r="A125" s="4"/>
      <c r="B125" s="189" t="s">
        <v>187</v>
      </c>
      <c r="C125" s="495" t="s">
        <v>70</v>
      </c>
      <c r="D125" s="194" t="s">
        <v>184</v>
      </c>
      <c r="E125" s="198" t="s">
        <v>185</v>
      </c>
      <c r="F125" s="190">
        <v>0</v>
      </c>
      <c r="G125" s="190">
        <v>0</v>
      </c>
      <c r="H125" s="190">
        <v>0</v>
      </c>
      <c r="I125" s="190">
        <v>0</v>
      </c>
      <c r="J125" s="190">
        <v>0</v>
      </c>
      <c r="K125" s="110" t="s">
        <v>202</v>
      </c>
      <c r="L125" s="57"/>
      <c r="M125" s="4"/>
      <c r="N125" s="212" t="str">
        <f t="shared" ref="N125:O129" si="27">IF(B125="",N124,B125)</f>
        <v>Evaporation rate expected</v>
      </c>
      <c r="O125" s="236" t="str">
        <f t="shared" si="27"/>
        <v>-</v>
      </c>
      <c r="P125" s="213" t="str">
        <f t="shared" si="17"/>
        <v/>
      </c>
      <c r="Q125" s="233"/>
      <c r="R125" s="215"/>
    </row>
    <row r="126" spans="1:18" s="14" customFormat="1" ht="40.15" customHeight="1" outlineLevel="1" x14ac:dyDescent="0.2">
      <c r="A126" s="4"/>
      <c r="B126" s="477" t="s">
        <v>189</v>
      </c>
      <c r="C126" s="495" t="s">
        <v>70</v>
      </c>
      <c r="D126" s="194" t="s">
        <v>87</v>
      </c>
      <c r="E126" s="198" t="s">
        <v>169</v>
      </c>
      <c r="F126" s="383">
        <f>F124-(F124*F125)</f>
        <v>0</v>
      </c>
      <c r="G126" s="383">
        <f t="shared" ref="G126:J126" si="28">G124-(G124*G125)</f>
        <v>0</v>
      </c>
      <c r="H126" s="383">
        <f t="shared" si="28"/>
        <v>0</v>
      </c>
      <c r="I126" s="383">
        <f t="shared" si="28"/>
        <v>0</v>
      </c>
      <c r="J126" s="383">
        <f t="shared" si="28"/>
        <v>0</v>
      </c>
      <c r="K126" s="110" t="s">
        <v>190</v>
      </c>
      <c r="L126" s="57"/>
      <c r="M126" s="4"/>
      <c r="N126" s="212" t="str">
        <f t="shared" si="27"/>
        <v>Volume to be disposed</v>
      </c>
      <c r="O126" s="236" t="str">
        <f t="shared" si="27"/>
        <v>-</v>
      </c>
      <c r="P126" s="213" t="str">
        <f>N123</f>
        <v>Drilling Muds and Cuttings</v>
      </c>
      <c r="Q126" s="233">
        <v>1</v>
      </c>
      <c r="R126" s="215"/>
    </row>
    <row r="127" spans="1:18" s="14" customFormat="1" ht="71.25" outlineLevel="1" x14ac:dyDescent="0.2">
      <c r="A127" s="4"/>
      <c r="B127" s="477" t="s">
        <v>302</v>
      </c>
      <c r="C127" s="495" t="s">
        <v>70</v>
      </c>
      <c r="D127" s="194" t="s">
        <v>191</v>
      </c>
      <c r="E127" s="199" t="s">
        <v>192</v>
      </c>
      <c r="F127" s="237">
        <v>0</v>
      </c>
      <c r="G127" s="237">
        <v>0</v>
      </c>
      <c r="H127" s="237">
        <v>0</v>
      </c>
      <c r="I127" s="237">
        <v>0</v>
      </c>
      <c r="J127" s="237">
        <v>0</v>
      </c>
      <c r="K127" s="110" t="s">
        <v>203</v>
      </c>
      <c r="L127" s="57"/>
      <c r="M127" s="4"/>
      <c r="N127" s="212" t="str">
        <f t="shared" si="27"/>
        <v>Expected TDS after evaporation</v>
      </c>
      <c r="O127" s="236" t="str">
        <f t="shared" si="27"/>
        <v>-</v>
      </c>
      <c r="P127" s="213" t="str">
        <f t="shared" si="17"/>
        <v/>
      </c>
      <c r="Q127" s="233"/>
      <c r="R127" s="215"/>
    </row>
    <row r="128" spans="1:18" s="14" customFormat="1" ht="28.5" outlineLevel="1" x14ac:dyDescent="0.2">
      <c r="A128" s="4"/>
      <c r="B128" s="71" t="s">
        <v>130</v>
      </c>
      <c r="C128" s="495" t="s">
        <v>70</v>
      </c>
      <c r="D128" s="194" t="s">
        <v>82</v>
      </c>
      <c r="E128" s="198" t="s">
        <v>222</v>
      </c>
      <c r="F128" s="222">
        <v>0</v>
      </c>
      <c r="G128" s="222">
        <v>0</v>
      </c>
      <c r="H128" s="222">
        <v>0</v>
      </c>
      <c r="I128" s="222">
        <v>0</v>
      </c>
      <c r="J128" s="222">
        <v>0</v>
      </c>
      <c r="K128" s="110" t="s">
        <v>204</v>
      </c>
      <c r="L128" s="57"/>
      <c r="M128" s="4"/>
      <c r="N128" s="212" t="str">
        <f t="shared" si="27"/>
        <v>Liners</v>
      </c>
      <c r="O128" s="236" t="str">
        <f>IF(C128="",O123,C128)</f>
        <v>-</v>
      </c>
      <c r="P128" s="213" t="str">
        <f t="shared" si="17"/>
        <v>Liners</v>
      </c>
      <c r="Q128" s="233">
        <v>1</v>
      </c>
      <c r="R128" s="215" t="str">
        <f t="shared" si="22"/>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27"/>
        <v>Well pad materials</v>
      </c>
      <c r="O129" s="418" t="str">
        <f t="shared" si="27"/>
        <v>-</v>
      </c>
      <c r="P129" s="218" t="str">
        <f t="shared" si="17"/>
        <v>Well pad materials</v>
      </c>
      <c r="Q129" s="234">
        <v>1</v>
      </c>
      <c r="R129" s="220" t="str">
        <f t="shared" si="22"/>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2.3 Summary of units used to calculate the security value by disturbance category</v>
      </c>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8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85"/>
      <c r="L133" s="4"/>
      <c r="M133" s="4"/>
    </row>
    <row r="134" spans="1:20" s="14" customFormat="1" x14ac:dyDescent="0.2">
      <c r="A134" s="4"/>
      <c r="B134" s="621" t="str">
        <f>B29</f>
        <v>Flowline right of ways - By track</v>
      </c>
      <c r="C134" s="622"/>
      <c r="D134" s="622"/>
      <c r="E134" s="44" t="s">
        <v>136</v>
      </c>
      <c r="F134" s="239">
        <f t="shared" ref="F134:J169" si="29">SUMIF($P$26:$P$129,$B134,F$26:F$129)</f>
        <v>0</v>
      </c>
      <c r="G134" s="239">
        <f t="shared" si="29"/>
        <v>0</v>
      </c>
      <c r="H134" s="239">
        <f t="shared" si="29"/>
        <v>0</v>
      </c>
      <c r="I134" s="239">
        <f t="shared" si="29"/>
        <v>0</v>
      </c>
      <c r="J134" s="240">
        <f t="shared" si="29"/>
        <v>0</v>
      </c>
      <c r="K134" s="485"/>
      <c r="L134" s="4"/>
      <c r="M134" s="4"/>
    </row>
    <row r="135" spans="1:20" s="14" customFormat="1" x14ac:dyDescent="0.2">
      <c r="A135" s="4"/>
      <c r="B135" s="621" t="str">
        <f>B30</f>
        <v>Flowline right of ways - Not by track</v>
      </c>
      <c r="C135" s="622"/>
      <c r="D135" s="622"/>
      <c r="E135" s="44" t="s">
        <v>136</v>
      </c>
      <c r="F135" s="239">
        <f t="shared" si="29"/>
        <v>0</v>
      </c>
      <c r="G135" s="239">
        <f t="shared" si="29"/>
        <v>0</v>
      </c>
      <c r="H135" s="239">
        <f t="shared" si="29"/>
        <v>0</v>
      </c>
      <c r="I135" s="239">
        <f t="shared" si="29"/>
        <v>0</v>
      </c>
      <c r="J135" s="240">
        <f t="shared" si="29"/>
        <v>0</v>
      </c>
      <c r="K135" s="485"/>
      <c r="L135" s="4"/>
      <c r="M135" s="4"/>
    </row>
    <row r="136" spans="1:20" s="14" customFormat="1" x14ac:dyDescent="0.2">
      <c r="A136" s="4"/>
      <c r="B136" s="621" t="str">
        <f>B31</f>
        <v>Access track (existing)</v>
      </c>
      <c r="C136" s="622"/>
      <c r="D136" s="622"/>
      <c r="E136" s="44" t="s">
        <v>64</v>
      </c>
      <c r="F136" s="239">
        <f t="shared" si="29"/>
        <v>0</v>
      </c>
      <c r="G136" s="239">
        <f t="shared" si="29"/>
        <v>0</v>
      </c>
      <c r="H136" s="239">
        <f t="shared" si="29"/>
        <v>0</v>
      </c>
      <c r="I136" s="239">
        <f t="shared" si="29"/>
        <v>0</v>
      </c>
      <c r="J136" s="240">
        <f t="shared" si="29"/>
        <v>0</v>
      </c>
      <c r="K136" s="48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29"/>
        <v>0</v>
      </c>
      <c r="G137" s="239">
        <f t="shared" si="29"/>
        <v>0</v>
      </c>
      <c r="H137" s="239">
        <f t="shared" si="29"/>
        <v>0</v>
      </c>
      <c r="I137" s="239">
        <f t="shared" si="29"/>
        <v>0</v>
      </c>
      <c r="J137" s="240">
        <f t="shared" si="29"/>
        <v>0</v>
      </c>
      <c r="K137" s="48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29"/>
        <v>0</v>
      </c>
      <c r="G138" s="239">
        <f t="shared" si="29"/>
        <v>0</v>
      </c>
      <c r="H138" s="239">
        <f t="shared" si="29"/>
        <v>0</v>
      </c>
      <c r="I138" s="239">
        <f t="shared" si="29"/>
        <v>0</v>
      </c>
      <c r="J138" s="240">
        <f t="shared" si="29"/>
        <v>0</v>
      </c>
      <c r="K138" s="48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29"/>
        <v>0</v>
      </c>
      <c r="G139" s="239">
        <f t="shared" si="29"/>
        <v>0</v>
      </c>
      <c r="H139" s="239">
        <f t="shared" si="29"/>
        <v>0</v>
      </c>
      <c r="I139" s="239">
        <f t="shared" si="29"/>
        <v>0</v>
      </c>
      <c r="J139" s="240">
        <f t="shared" si="29"/>
        <v>0</v>
      </c>
      <c r="K139" s="48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29"/>
        <v>0</v>
      </c>
      <c r="G140" s="239">
        <f t="shared" si="29"/>
        <v>0</v>
      </c>
      <c r="H140" s="239">
        <f t="shared" si="29"/>
        <v>0</v>
      </c>
      <c r="I140" s="239">
        <f t="shared" si="29"/>
        <v>0</v>
      </c>
      <c r="J140" s="240">
        <f t="shared" si="29"/>
        <v>0</v>
      </c>
      <c r="K140" s="48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29"/>
        <v>0</v>
      </c>
      <c r="G141" s="239">
        <f t="shared" si="29"/>
        <v>0</v>
      </c>
      <c r="H141" s="239">
        <f t="shared" si="29"/>
        <v>0</v>
      </c>
      <c r="I141" s="239">
        <f t="shared" si="29"/>
        <v>0</v>
      </c>
      <c r="J141" s="240">
        <f t="shared" si="29"/>
        <v>0</v>
      </c>
      <c r="K141" s="48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29"/>
        <v>0</v>
      </c>
      <c r="G142" s="239">
        <f t="shared" si="29"/>
        <v>0</v>
      </c>
      <c r="H142" s="239">
        <f t="shared" si="29"/>
        <v>0</v>
      </c>
      <c r="I142" s="239">
        <f t="shared" si="29"/>
        <v>0</v>
      </c>
      <c r="J142" s="240">
        <f t="shared" si="29"/>
        <v>0</v>
      </c>
      <c r="K142" s="485"/>
      <c r="L142" s="4"/>
      <c r="M142" s="4"/>
      <c r="N142" s="155"/>
      <c r="O142" s="155"/>
      <c r="P142" s="155"/>
      <c r="Q142" s="155"/>
    </row>
    <row r="143" spans="1:20" s="14" customFormat="1" x14ac:dyDescent="0.2">
      <c r="A143" s="4"/>
      <c r="B143" s="621" t="str">
        <f>B52</f>
        <v>Gravel pits</v>
      </c>
      <c r="C143" s="622"/>
      <c r="D143" s="622"/>
      <c r="E143" s="44" t="s">
        <v>64</v>
      </c>
      <c r="F143" s="239">
        <f t="shared" si="29"/>
        <v>0</v>
      </c>
      <c r="G143" s="239">
        <f t="shared" si="29"/>
        <v>0</v>
      </c>
      <c r="H143" s="239">
        <f t="shared" si="29"/>
        <v>0</v>
      </c>
      <c r="I143" s="239">
        <f t="shared" si="29"/>
        <v>0</v>
      </c>
      <c r="J143" s="240">
        <f t="shared" si="29"/>
        <v>0</v>
      </c>
      <c r="K143" s="485"/>
      <c r="L143" s="4"/>
      <c r="M143" s="4"/>
      <c r="N143" s="155"/>
      <c r="O143" s="155"/>
      <c r="P143" s="155"/>
      <c r="Q143" s="155"/>
    </row>
    <row r="144" spans="1:20" s="14" customFormat="1" x14ac:dyDescent="0.2">
      <c r="A144" s="4"/>
      <c r="B144" s="621" t="str">
        <f>B56</f>
        <v>Well pad</v>
      </c>
      <c r="C144" s="622"/>
      <c r="D144" s="622"/>
      <c r="E144" s="44" t="s">
        <v>64</v>
      </c>
      <c r="F144" s="239">
        <f t="shared" si="29"/>
        <v>0</v>
      </c>
      <c r="G144" s="239">
        <f t="shared" si="29"/>
        <v>0</v>
      </c>
      <c r="H144" s="239">
        <f t="shared" si="29"/>
        <v>0</v>
      </c>
      <c r="I144" s="239">
        <f t="shared" si="29"/>
        <v>0</v>
      </c>
      <c r="J144" s="240">
        <f t="shared" si="29"/>
        <v>0</v>
      </c>
      <c r="K144" s="48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29"/>
        <v>0</v>
      </c>
      <c r="G145" s="239">
        <f t="shared" si="29"/>
        <v>0</v>
      </c>
      <c r="H145" s="239">
        <f t="shared" si="29"/>
        <v>0</v>
      </c>
      <c r="I145" s="239">
        <f t="shared" si="29"/>
        <v>0</v>
      </c>
      <c r="J145" s="240">
        <f t="shared" si="29"/>
        <v>0</v>
      </c>
      <c r="K145" s="485"/>
      <c r="L145" s="4"/>
      <c r="M145" s="4"/>
      <c r="N145" s="155"/>
      <c r="O145" s="155"/>
      <c r="P145" s="155"/>
      <c r="Q145" s="155"/>
    </row>
    <row r="146" spans="1:17" s="14" customFormat="1" x14ac:dyDescent="0.2">
      <c r="A146" s="4"/>
      <c r="B146" s="623" t="str">
        <f>CONCATENATE(B63," - ",C63)</f>
        <v>Camp - No seeding</v>
      </c>
      <c r="C146" s="624"/>
      <c r="D146" s="625"/>
      <c r="E146" s="44" t="s">
        <v>64</v>
      </c>
      <c r="F146" s="239">
        <f t="shared" si="29"/>
        <v>0</v>
      </c>
      <c r="G146" s="239">
        <f t="shared" si="29"/>
        <v>0</v>
      </c>
      <c r="H146" s="239">
        <f t="shared" si="29"/>
        <v>0</v>
      </c>
      <c r="I146" s="239">
        <f t="shared" si="29"/>
        <v>0</v>
      </c>
      <c r="J146" s="240">
        <f t="shared" si="29"/>
        <v>0</v>
      </c>
      <c r="K146" s="48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29"/>
        <v>0</v>
      </c>
      <c r="G147" s="239">
        <f t="shared" si="29"/>
        <v>0</v>
      </c>
      <c r="H147" s="239">
        <f t="shared" si="29"/>
        <v>0</v>
      </c>
      <c r="I147" s="239">
        <f t="shared" si="29"/>
        <v>0</v>
      </c>
      <c r="J147" s="240">
        <f t="shared" si="29"/>
        <v>0</v>
      </c>
      <c r="K147" s="48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29"/>
        <v>0</v>
      </c>
      <c r="G148" s="239">
        <f t="shared" si="29"/>
        <v>0</v>
      </c>
      <c r="H148" s="239">
        <f t="shared" si="29"/>
        <v>0</v>
      </c>
      <c r="I148" s="239">
        <f t="shared" si="29"/>
        <v>0</v>
      </c>
      <c r="J148" s="240">
        <f t="shared" si="29"/>
        <v>0</v>
      </c>
      <c r="K148" s="485"/>
      <c r="L148" s="4"/>
      <c r="M148" s="4"/>
      <c r="N148" s="155"/>
      <c r="O148" s="155"/>
      <c r="P148" s="155"/>
      <c r="Q148" s="155"/>
    </row>
    <row r="149" spans="1:17" s="14" customFormat="1" x14ac:dyDescent="0.2">
      <c r="A149" s="4"/>
      <c r="B149" s="623" t="str">
        <f>B77</f>
        <v>Fencing</v>
      </c>
      <c r="C149" s="624"/>
      <c r="D149" s="625"/>
      <c r="E149" s="44" t="s">
        <v>79</v>
      </c>
      <c r="F149" s="239">
        <f t="shared" si="29"/>
        <v>0</v>
      </c>
      <c r="G149" s="239">
        <f t="shared" si="29"/>
        <v>0</v>
      </c>
      <c r="H149" s="239">
        <f t="shared" si="29"/>
        <v>0</v>
      </c>
      <c r="I149" s="239">
        <f t="shared" si="29"/>
        <v>0</v>
      </c>
      <c r="J149" s="240">
        <f t="shared" si="29"/>
        <v>0</v>
      </c>
      <c r="K149" s="485"/>
      <c r="L149" s="4"/>
      <c r="M149" s="4"/>
      <c r="N149" s="155"/>
      <c r="O149" s="155"/>
      <c r="P149" s="155"/>
      <c r="Q149" s="155"/>
    </row>
    <row r="150" spans="1:17" s="14" customFormat="1" x14ac:dyDescent="0.2">
      <c r="A150" s="4"/>
      <c r="B150" s="638" t="str">
        <f>B78</f>
        <v>Groundwater bore &lt; 70m TVD</v>
      </c>
      <c r="C150" s="639"/>
      <c r="D150" s="640"/>
      <c r="E150" s="44" t="s">
        <v>82</v>
      </c>
      <c r="F150" s="239">
        <f t="shared" si="29"/>
        <v>0</v>
      </c>
      <c r="G150" s="239">
        <f t="shared" si="29"/>
        <v>0</v>
      </c>
      <c r="H150" s="239">
        <f t="shared" si="29"/>
        <v>0</v>
      </c>
      <c r="I150" s="239">
        <f t="shared" si="29"/>
        <v>0</v>
      </c>
      <c r="J150" s="240">
        <f t="shared" si="29"/>
        <v>0</v>
      </c>
      <c r="K150" s="485"/>
      <c r="L150" s="4"/>
      <c r="M150" s="4"/>
      <c r="N150" s="155"/>
      <c r="O150" s="155"/>
      <c r="P150" s="155"/>
      <c r="Q150" s="155"/>
    </row>
    <row r="151" spans="1:17" s="14" customFormat="1" x14ac:dyDescent="0.2">
      <c r="A151" s="4"/>
      <c r="B151" s="623" t="str">
        <f>B79</f>
        <v>Groundwater bore ≥ 70m TVD</v>
      </c>
      <c r="C151" s="624"/>
      <c r="D151" s="625"/>
      <c r="E151" s="44" t="s">
        <v>82</v>
      </c>
      <c r="F151" s="239">
        <f t="shared" si="29"/>
        <v>0</v>
      </c>
      <c r="G151" s="239">
        <f t="shared" si="29"/>
        <v>0</v>
      </c>
      <c r="H151" s="239">
        <f t="shared" si="29"/>
        <v>0</v>
      </c>
      <c r="I151" s="239">
        <f t="shared" si="29"/>
        <v>0</v>
      </c>
      <c r="J151" s="240">
        <f t="shared" si="29"/>
        <v>0</v>
      </c>
      <c r="K151" s="485"/>
      <c r="L151" s="4"/>
      <c r="M151" s="4"/>
      <c r="N151" s="155"/>
      <c r="O151" s="155"/>
      <c r="P151" s="155"/>
      <c r="Q151" s="155"/>
    </row>
    <row r="152" spans="1:17" s="14" customFormat="1" x14ac:dyDescent="0.2">
      <c r="A152" s="4"/>
      <c r="B152" s="621" t="str">
        <f>B80</f>
        <v>Drill sump liners</v>
      </c>
      <c r="C152" s="622"/>
      <c r="D152" s="622"/>
      <c r="E152" s="44" t="s">
        <v>82</v>
      </c>
      <c r="F152" s="239">
        <f t="shared" si="29"/>
        <v>0</v>
      </c>
      <c r="G152" s="239">
        <f t="shared" si="29"/>
        <v>0</v>
      </c>
      <c r="H152" s="239">
        <f t="shared" si="29"/>
        <v>0</v>
      </c>
      <c r="I152" s="239">
        <f t="shared" si="29"/>
        <v>0</v>
      </c>
      <c r="J152" s="240">
        <f t="shared" si="29"/>
        <v>0</v>
      </c>
      <c r="K152" s="485"/>
      <c r="L152" s="4"/>
      <c r="M152" s="4"/>
      <c r="N152" s="155"/>
      <c r="O152" s="155"/>
      <c r="P152" s="155"/>
      <c r="Q152" s="155"/>
    </row>
    <row r="153" spans="1:17" s="14" customFormat="1" ht="15.75" x14ac:dyDescent="0.2">
      <c r="A153" s="4"/>
      <c r="B153" s="623" t="str">
        <f>B81</f>
        <v>Drill sump</v>
      </c>
      <c r="C153" s="624"/>
      <c r="D153" s="624"/>
      <c r="E153" s="44" t="s">
        <v>133</v>
      </c>
      <c r="F153" s="239">
        <f t="shared" si="29"/>
        <v>0</v>
      </c>
      <c r="G153" s="239">
        <f t="shared" si="29"/>
        <v>0</v>
      </c>
      <c r="H153" s="239">
        <f t="shared" si="29"/>
        <v>0</v>
      </c>
      <c r="I153" s="239">
        <f t="shared" si="29"/>
        <v>0</v>
      </c>
      <c r="J153" s="240">
        <f t="shared" si="29"/>
        <v>0</v>
      </c>
      <c r="K153" s="485"/>
      <c r="L153" s="4"/>
      <c r="M153" s="4"/>
      <c r="N153" s="155"/>
      <c r="O153" s="155"/>
      <c r="P153" s="155"/>
      <c r="Q153" s="155"/>
    </row>
    <row r="154" spans="1:17" s="14" customFormat="1" ht="15.75" x14ac:dyDescent="0.2">
      <c r="A154" s="4"/>
      <c r="B154" s="621" t="str">
        <f>B86</f>
        <v>Flare pit</v>
      </c>
      <c r="C154" s="622"/>
      <c r="D154" s="622"/>
      <c r="E154" s="44" t="s">
        <v>133</v>
      </c>
      <c r="F154" s="239">
        <f t="shared" si="29"/>
        <v>0</v>
      </c>
      <c r="G154" s="239">
        <f t="shared" si="29"/>
        <v>0</v>
      </c>
      <c r="H154" s="239">
        <f t="shared" si="29"/>
        <v>0</v>
      </c>
      <c r="I154" s="239">
        <f t="shared" si="29"/>
        <v>0</v>
      </c>
      <c r="J154" s="240">
        <f t="shared" si="29"/>
        <v>0</v>
      </c>
      <c r="K154" s="485"/>
      <c r="L154" s="4"/>
      <c r="M154" s="4"/>
      <c r="N154" s="155"/>
      <c r="O154" s="155"/>
      <c r="P154" s="155"/>
      <c r="Q154" s="155"/>
    </row>
    <row r="155" spans="1:17" s="14" customFormat="1" x14ac:dyDescent="0.2">
      <c r="A155" s="4"/>
      <c r="B155" s="621" t="str">
        <f>B91</f>
        <v>Wastewater tank</v>
      </c>
      <c r="C155" s="622"/>
      <c r="D155" s="622"/>
      <c r="E155" s="44" t="s">
        <v>82</v>
      </c>
      <c r="F155" s="239">
        <f t="shared" si="29"/>
        <v>0</v>
      </c>
      <c r="G155" s="239">
        <f t="shared" si="29"/>
        <v>0</v>
      </c>
      <c r="H155" s="239">
        <f t="shared" si="29"/>
        <v>0</v>
      </c>
      <c r="I155" s="239">
        <f t="shared" si="29"/>
        <v>0</v>
      </c>
      <c r="J155" s="240">
        <f t="shared" si="29"/>
        <v>0</v>
      </c>
      <c r="K155" s="485"/>
      <c r="L155" s="4"/>
      <c r="M155" s="4"/>
      <c r="N155" s="155"/>
      <c r="O155" s="155"/>
      <c r="P155" s="155"/>
      <c r="Q155" s="155"/>
    </row>
    <row r="156" spans="1:17" s="14" customFormat="1" x14ac:dyDescent="0.2">
      <c r="A156" s="4"/>
      <c r="B156" s="621" t="str">
        <f>B92</f>
        <v>Wastewater treatment plant (camp)</v>
      </c>
      <c r="C156" s="622"/>
      <c r="D156" s="622"/>
      <c r="E156" s="44" t="s">
        <v>82</v>
      </c>
      <c r="F156" s="239">
        <f t="shared" si="29"/>
        <v>0</v>
      </c>
      <c r="G156" s="239">
        <f t="shared" si="29"/>
        <v>0</v>
      </c>
      <c r="H156" s="239">
        <f t="shared" si="29"/>
        <v>0</v>
      </c>
      <c r="I156" s="239">
        <f t="shared" si="29"/>
        <v>0</v>
      </c>
      <c r="J156" s="240">
        <f t="shared" si="29"/>
        <v>0</v>
      </c>
      <c r="K156" s="485"/>
      <c r="L156" s="4"/>
      <c r="M156" s="4"/>
      <c r="N156" s="155"/>
      <c r="O156" s="155"/>
      <c r="P156" s="155"/>
      <c r="Q156" s="155"/>
    </row>
    <row r="157" spans="1:17" s="14" customFormat="1" ht="15.75" x14ac:dyDescent="0.2">
      <c r="A157" s="4"/>
      <c r="B157" s="621" t="str">
        <f>B93</f>
        <v>Turkey's nest</v>
      </c>
      <c r="C157" s="622"/>
      <c r="D157" s="622"/>
      <c r="E157" s="44" t="s">
        <v>133</v>
      </c>
      <c r="F157" s="239">
        <f t="shared" si="29"/>
        <v>0</v>
      </c>
      <c r="G157" s="239">
        <f t="shared" si="29"/>
        <v>0</v>
      </c>
      <c r="H157" s="239">
        <f t="shared" si="29"/>
        <v>0</v>
      </c>
      <c r="I157" s="239">
        <f t="shared" si="29"/>
        <v>0</v>
      </c>
      <c r="J157" s="240">
        <f t="shared" si="29"/>
        <v>0</v>
      </c>
      <c r="K157" s="485"/>
      <c r="L157" s="4"/>
      <c r="M157" s="4"/>
      <c r="N157" s="155"/>
      <c r="O157" s="155"/>
      <c r="P157" s="155"/>
      <c r="Q157" s="155"/>
    </row>
    <row r="158" spans="1:17" s="14" customFormat="1" x14ac:dyDescent="0.2">
      <c r="A158" s="4"/>
      <c r="B158" s="621" t="str">
        <f>B98</f>
        <v>Camp capacity</v>
      </c>
      <c r="C158" s="622"/>
      <c r="D158" s="622"/>
      <c r="E158" s="44" t="s">
        <v>82</v>
      </c>
      <c r="F158" s="239">
        <f t="shared" si="29"/>
        <v>0</v>
      </c>
      <c r="G158" s="239">
        <f t="shared" si="29"/>
        <v>0</v>
      </c>
      <c r="H158" s="239">
        <f t="shared" si="29"/>
        <v>0</v>
      </c>
      <c r="I158" s="239">
        <f t="shared" si="29"/>
        <v>0</v>
      </c>
      <c r="J158" s="240">
        <f t="shared" si="29"/>
        <v>0</v>
      </c>
      <c r="K158" s="48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29"/>
        <v>0</v>
      </c>
      <c r="G159" s="239">
        <f t="shared" si="29"/>
        <v>0</v>
      </c>
      <c r="H159" s="239">
        <f t="shared" si="29"/>
        <v>0</v>
      </c>
      <c r="I159" s="239">
        <f t="shared" si="29"/>
        <v>0</v>
      </c>
      <c r="J159" s="240">
        <f t="shared" si="29"/>
        <v>0</v>
      </c>
      <c r="K159" s="48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29"/>
        <v>0</v>
      </c>
      <c r="G160" s="239">
        <f t="shared" si="29"/>
        <v>0</v>
      </c>
      <c r="H160" s="239">
        <f t="shared" si="29"/>
        <v>0</v>
      </c>
      <c r="I160" s="239">
        <f t="shared" si="29"/>
        <v>0</v>
      </c>
      <c r="J160" s="240">
        <f t="shared" si="29"/>
        <v>0</v>
      </c>
      <c r="K160" s="485"/>
      <c r="L160" s="4"/>
      <c r="M160" s="4"/>
      <c r="N160" s="155"/>
      <c r="O160" s="155"/>
      <c r="P160" s="155"/>
      <c r="Q160" s="155"/>
    </row>
    <row r="161" spans="1:18" s="14" customFormat="1" x14ac:dyDescent="0.2">
      <c r="A161" s="4"/>
      <c r="B161" s="621" t="str">
        <f>B104</f>
        <v>General waste</v>
      </c>
      <c r="C161" s="622"/>
      <c r="D161" s="622"/>
      <c r="E161" s="44" t="s">
        <v>177</v>
      </c>
      <c r="F161" s="239">
        <f t="shared" si="29"/>
        <v>0</v>
      </c>
      <c r="G161" s="239">
        <f t="shared" si="29"/>
        <v>0</v>
      </c>
      <c r="H161" s="239">
        <f t="shared" si="29"/>
        <v>0</v>
      </c>
      <c r="I161" s="239">
        <f t="shared" si="29"/>
        <v>0</v>
      </c>
      <c r="J161" s="240">
        <f t="shared" si="29"/>
        <v>0</v>
      </c>
      <c r="K161" s="485"/>
      <c r="L161" s="4"/>
      <c r="M161" s="4"/>
      <c r="N161" s="155"/>
      <c r="O161" s="155"/>
      <c r="P161" s="155"/>
      <c r="Q161" s="155"/>
    </row>
    <row r="162" spans="1:18" s="14" customFormat="1" x14ac:dyDescent="0.2">
      <c r="A162" s="4"/>
      <c r="B162" s="621" t="str">
        <f>B105</f>
        <v>Listed waste</v>
      </c>
      <c r="C162" s="622"/>
      <c r="D162" s="622"/>
      <c r="E162" s="44" t="s">
        <v>177</v>
      </c>
      <c r="F162" s="239">
        <f t="shared" si="29"/>
        <v>0</v>
      </c>
      <c r="G162" s="239">
        <f t="shared" si="29"/>
        <v>0</v>
      </c>
      <c r="H162" s="239">
        <f t="shared" si="29"/>
        <v>0</v>
      </c>
      <c r="I162" s="239">
        <f t="shared" si="29"/>
        <v>0</v>
      </c>
      <c r="J162" s="240">
        <f t="shared" si="29"/>
        <v>0</v>
      </c>
      <c r="K162" s="48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29"/>
        <v>0</v>
      </c>
      <c r="G163" s="239">
        <f t="shared" si="29"/>
        <v>0</v>
      </c>
      <c r="H163" s="239">
        <f t="shared" si="29"/>
        <v>0</v>
      </c>
      <c r="I163" s="239">
        <f t="shared" si="29"/>
        <v>0</v>
      </c>
      <c r="J163" s="240">
        <f t="shared" si="29"/>
        <v>0</v>
      </c>
      <c r="K163" s="485"/>
      <c r="L163" s="4"/>
      <c r="M163" s="4"/>
      <c r="N163" s="155"/>
      <c r="O163" s="155"/>
      <c r="P163" s="155"/>
      <c r="Q163" s="155"/>
    </row>
    <row r="164" spans="1:18" s="14" customFormat="1" x14ac:dyDescent="0.2">
      <c r="A164" s="4"/>
      <c r="B164" s="621" t="str">
        <f>B107</f>
        <v>Hydraulic Fracking Fluid</v>
      </c>
      <c r="C164" s="622"/>
      <c r="D164" s="622"/>
      <c r="E164" s="44" t="s">
        <v>181</v>
      </c>
      <c r="F164" s="239">
        <f t="shared" si="29"/>
        <v>0</v>
      </c>
      <c r="G164" s="239">
        <f t="shared" si="29"/>
        <v>0</v>
      </c>
      <c r="H164" s="239">
        <f t="shared" si="29"/>
        <v>0</v>
      </c>
      <c r="I164" s="239">
        <f t="shared" si="29"/>
        <v>0</v>
      </c>
      <c r="J164" s="240">
        <f t="shared" si="29"/>
        <v>0</v>
      </c>
      <c r="K164" s="48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29"/>
        <v>0</v>
      </c>
      <c r="G165" s="239">
        <f t="shared" si="29"/>
        <v>0</v>
      </c>
      <c r="H165" s="239">
        <f t="shared" si="29"/>
        <v>0</v>
      </c>
      <c r="I165" s="239">
        <f t="shared" si="29"/>
        <v>0</v>
      </c>
      <c r="J165" s="240">
        <f t="shared" si="29"/>
        <v>0</v>
      </c>
      <c r="K165" s="48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29"/>
        <v>0</v>
      </c>
      <c r="G166" s="239">
        <f t="shared" si="29"/>
        <v>0</v>
      </c>
      <c r="H166" s="239">
        <f t="shared" si="29"/>
        <v>0</v>
      </c>
      <c r="I166" s="239">
        <f t="shared" si="29"/>
        <v>0</v>
      </c>
      <c r="J166" s="240">
        <f t="shared" si="29"/>
        <v>0</v>
      </c>
      <c r="K166" s="48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29"/>
        <v>0</v>
      </c>
      <c r="G167" s="239">
        <f t="shared" si="29"/>
        <v>0</v>
      </c>
      <c r="H167" s="239">
        <f t="shared" si="29"/>
        <v>0</v>
      </c>
      <c r="I167" s="239">
        <f t="shared" si="29"/>
        <v>0</v>
      </c>
      <c r="J167" s="240">
        <f t="shared" si="29"/>
        <v>0</v>
      </c>
      <c r="K167" s="48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29"/>
        <v>0</v>
      </c>
      <c r="G168" s="239">
        <f t="shared" si="29"/>
        <v>0</v>
      </c>
      <c r="H168" s="239">
        <f t="shared" si="29"/>
        <v>0</v>
      </c>
      <c r="I168" s="239">
        <f t="shared" si="29"/>
        <v>0</v>
      </c>
      <c r="J168" s="240">
        <f t="shared" si="29"/>
        <v>0</v>
      </c>
      <c r="K168" s="48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29"/>
        <v>0</v>
      </c>
      <c r="G169" s="499">
        <f t="shared" si="29"/>
        <v>0</v>
      </c>
      <c r="H169" s="499">
        <f t="shared" si="29"/>
        <v>0</v>
      </c>
      <c r="I169" s="499">
        <f t="shared" si="29"/>
        <v>0</v>
      </c>
      <c r="J169" s="500">
        <f t="shared" si="29"/>
        <v>0</v>
      </c>
      <c r="K169" s="485"/>
      <c r="L169" s="4"/>
      <c r="M169" s="4"/>
      <c r="N169" s="155"/>
      <c r="O169" s="155"/>
      <c r="P169" s="155"/>
      <c r="Q169" s="155"/>
    </row>
    <row r="170" spans="1:18" x14ac:dyDescent="0.2">
      <c r="B170" s="32"/>
      <c r="O170" s="5"/>
      <c r="P170" s="5"/>
    </row>
    <row r="171" spans="1:18" ht="15" thickBot="1" x14ac:dyDescent="0.25">
      <c r="B171" s="207" t="str">
        <f ca="1">"Table "&amp;$N$9&amp;".4 Summary of security value by disturbance activity"</f>
        <v>Table 2.4 Summary of security value by disturbance activity</v>
      </c>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8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485"/>
      <c r="L173" s="4"/>
      <c r="M173" s="4"/>
    </row>
    <row r="174" spans="1:18" s="14" customFormat="1" x14ac:dyDescent="0.2">
      <c r="A174" s="4"/>
      <c r="B174" s="129" t="s">
        <v>23</v>
      </c>
      <c r="C174" s="619" t="str">
        <f t="shared" ref="C174:C209" si="30">B134</f>
        <v>Flowline right of ways - By track</v>
      </c>
      <c r="D174" s="620"/>
      <c r="E174" s="246">
        <f>SUMIF('Unit Rates'!J:J,$C174,'Unit Rates'!F:F)</f>
        <v>1242</v>
      </c>
      <c r="F174" s="243">
        <f t="shared" ref="F174:J189" si="31">$E174*F134</f>
        <v>0</v>
      </c>
      <c r="G174" s="243">
        <f t="shared" si="31"/>
        <v>0</v>
      </c>
      <c r="H174" s="243">
        <f t="shared" si="31"/>
        <v>0</v>
      </c>
      <c r="I174" s="243">
        <f t="shared" si="31"/>
        <v>0</v>
      </c>
      <c r="J174" s="244">
        <f t="shared" si="31"/>
        <v>0</v>
      </c>
      <c r="K174" s="485"/>
      <c r="L174" s="4"/>
      <c r="M174" s="4"/>
    </row>
    <row r="175" spans="1:18" s="14" customFormat="1" x14ac:dyDescent="0.2">
      <c r="A175" s="4"/>
      <c r="B175" s="129" t="s">
        <v>23</v>
      </c>
      <c r="C175" s="619" t="str">
        <f t="shared" si="30"/>
        <v>Flowline right of ways - Not by track</v>
      </c>
      <c r="D175" s="620"/>
      <c r="E175" s="246">
        <f>SUMIF('Unit Rates'!J:J,$C175,'Unit Rates'!F:F)</f>
        <v>2484</v>
      </c>
      <c r="F175" s="243">
        <f t="shared" si="31"/>
        <v>0</v>
      </c>
      <c r="G175" s="243">
        <f t="shared" si="31"/>
        <v>0</v>
      </c>
      <c r="H175" s="243">
        <f t="shared" si="31"/>
        <v>0</v>
      </c>
      <c r="I175" s="243">
        <f t="shared" si="31"/>
        <v>0</v>
      </c>
      <c r="J175" s="244">
        <f t="shared" si="31"/>
        <v>0</v>
      </c>
      <c r="K175" s="485"/>
      <c r="L175" s="4"/>
      <c r="M175" s="4"/>
    </row>
    <row r="176" spans="1:18" s="14" customFormat="1" x14ac:dyDescent="0.2">
      <c r="A176" s="4"/>
      <c r="B176" s="129" t="s">
        <v>23</v>
      </c>
      <c r="C176" s="619" t="str">
        <f t="shared" si="30"/>
        <v>Access track (existing)</v>
      </c>
      <c r="D176" s="620"/>
      <c r="E176" s="246">
        <f>SUMIF('Unit Rates'!J:J,$C176,'Unit Rates'!F:F)</f>
        <v>4553</v>
      </c>
      <c r="F176" s="243">
        <f t="shared" si="31"/>
        <v>0</v>
      </c>
      <c r="G176" s="243">
        <f t="shared" si="31"/>
        <v>0</v>
      </c>
      <c r="H176" s="243">
        <f t="shared" si="31"/>
        <v>0</v>
      </c>
      <c r="I176" s="243">
        <f t="shared" si="31"/>
        <v>0</v>
      </c>
      <c r="J176" s="244">
        <f t="shared" si="31"/>
        <v>0</v>
      </c>
      <c r="K176" s="485"/>
      <c r="L176" s="4"/>
      <c r="M176" s="4"/>
      <c r="N176" s="155"/>
      <c r="Q176" s="155"/>
      <c r="R176" s="155"/>
    </row>
    <row r="177" spans="1:20" s="14" customFormat="1" x14ac:dyDescent="0.2">
      <c r="A177" s="4"/>
      <c r="B177" s="129" t="s">
        <v>23</v>
      </c>
      <c r="C177" s="619" t="str">
        <f t="shared" si="30"/>
        <v>Access track (new) - No seeding</v>
      </c>
      <c r="D177" s="620"/>
      <c r="E177" s="246">
        <f>SUMIF('Unit Rates'!J:J,$C177,'Unit Rates'!F:F)</f>
        <v>3133</v>
      </c>
      <c r="F177" s="243">
        <f t="shared" si="31"/>
        <v>0</v>
      </c>
      <c r="G177" s="243">
        <f t="shared" si="31"/>
        <v>0</v>
      </c>
      <c r="H177" s="243">
        <f t="shared" si="31"/>
        <v>0</v>
      </c>
      <c r="I177" s="243">
        <f t="shared" si="31"/>
        <v>0</v>
      </c>
      <c r="J177" s="244">
        <f t="shared" si="31"/>
        <v>0</v>
      </c>
      <c r="K177" s="485"/>
      <c r="L177" s="4"/>
      <c r="M177" s="4"/>
      <c r="N177" s="155"/>
      <c r="Q177" s="155"/>
    </row>
    <row r="178" spans="1:20" s="14" customFormat="1" x14ac:dyDescent="0.2">
      <c r="A178" s="4"/>
      <c r="B178" s="129" t="s">
        <v>23</v>
      </c>
      <c r="C178" s="619" t="str">
        <f t="shared" si="30"/>
        <v>Access track (new) - With seeding</v>
      </c>
      <c r="D178" s="620"/>
      <c r="E178" s="246">
        <f>SUMIF('Unit Rates'!J:J,$C178,'Unit Rates'!F:F)</f>
        <v>3942</v>
      </c>
      <c r="F178" s="243">
        <f t="shared" si="31"/>
        <v>0</v>
      </c>
      <c r="G178" s="243">
        <f t="shared" si="31"/>
        <v>0</v>
      </c>
      <c r="H178" s="243">
        <f t="shared" si="31"/>
        <v>0</v>
      </c>
      <c r="I178" s="243">
        <f t="shared" si="31"/>
        <v>0</v>
      </c>
      <c r="J178" s="244">
        <f t="shared" si="31"/>
        <v>0</v>
      </c>
      <c r="K178" s="485"/>
      <c r="L178" s="4"/>
      <c r="M178" s="4"/>
      <c r="N178" s="155"/>
      <c r="Q178" s="155"/>
    </row>
    <row r="179" spans="1:20" s="14" customFormat="1" x14ac:dyDescent="0.2">
      <c r="A179" s="4"/>
      <c r="B179" s="129" t="s">
        <v>23</v>
      </c>
      <c r="C179" s="619" t="str">
        <f t="shared" si="30"/>
        <v>Laydown areas - With seeding, with ripping</v>
      </c>
      <c r="D179" s="620"/>
      <c r="E179" s="246">
        <f>SUMIF('Unit Rates'!J:J,$C179,'Unit Rates'!F:F)</f>
        <v>2879</v>
      </c>
      <c r="F179" s="243">
        <f t="shared" si="31"/>
        <v>0</v>
      </c>
      <c r="G179" s="243">
        <f t="shared" si="31"/>
        <v>0</v>
      </c>
      <c r="H179" s="243">
        <f t="shared" si="31"/>
        <v>0</v>
      </c>
      <c r="I179" s="243">
        <f t="shared" si="31"/>
        <v>0</v>
      </c>
      <c r="J179" s="244">
        <f t="shared" si="31"/>
        <v>0</v>
      </c>
      <c r="K179" s="485"/>
      <c r="L179" s="4"/>
      <c r="M179" s="4"/>
      <c r="N179" s="155"/>
      <c r="Q179" s="155"/>
    </row>
    <row r="180" spans="1:20" s="14" customFormat="1" x14ac:dyDescent="0.2">
      <c r="A180" s="4"/>
      <c r="B180" s="129" t="s">
        <v>23</v>
      </c>
      <c r="C180" s="619" t="str">
        <f t="shared" si="30"/>
        <v>Laydown areas - With seeding, no ripping</v>
      </c>
      <c r="D180" s="620"/>
      <c r="E180" s="246">
        <f>SUMIF('Unit Rates'!J:J,$C180,'Unit Rates'!F:F)</f>
        <v>2379</v>
      </c>
      <c r="F180" s="243">
        <f t="shared" si="31"/>
        <v>0</v>
      </c>
      <c r="G180" s="243">
        <f t="shared" si="31"/>
        <v>0</v>
      </c>
      <c r="H180" s="243">
        <f t="shared" si="31"/>
        <v>0</v>
      </c>
      <c r="I180" s="243">
        <f t="shared" si="31"/>
        <v>0</v>
      </c>
      <c r="J180" s="244">
        <f t="shared" si="31"/>
        <v>0</v>
      </c>
      <c r="K180" s="485"/>
      <c r="L180" s="4"/>
    </row>
    <row r="181" spans="1:20" s="14" customFormat="1" x14ac:dyDescent="0.2">
      <c r="A181" s="4"/>
      <c r="B181" s="129" t="s">
        <v>23</v>
      </c>
      <c r="C181" s="619" t="str">
        <f t="shared" si="30"/>
        <v>Laydown areas - No seeding, with ripping</v>
      </c>
      <c r="D181" s="620"/>
      <c r="E181" s="246">
        <f>SUMIF('Unit Rates'!J:J,$C181,'Unit Rates'!F:F)</f>
        <v>2070</v>
      </c>
      <c r="F181" s="243">
        <f t="shared" si="31"/>
        <v>0</v>
      </c>
      <c r="G181" s="243">
        <f t="shared" si="31"/>
        <v>0</v>
      </c>
      <c r="H181" s="243">
        <f t="shared" si="31"/>
        <v>0</v>
      </c>
      <c r="I181" s="243">
        <f t="shared" si="31"/>
        <v>0</v>
      </c>
      <c r="J181" s="244">
        <f t="shared" si="31"/>
        <v>0</v>
      </c>
      <c r="K181" s="485"/>
      <c r="L181" s="4"/>
    </row>
    <row r="182" spans="1:20" s="14" customFormat="1" x14ac:dyDescent="0.2">
      <c r="A182" s="4"/>
      <c r="B182" s="129" t="s">
        <v>23</v>
      </c>
      <c r="C182" s="619" t="str">
        <f t="shared" si="30"/>
        <v>Laydown areas - No seeding, no ripping</v>
      </c>
      <c r="D182" s="620"/>
      <c r="E182" s="246">
        <f>SUMIF('Unit Rates'!J:J,$C182,'Unit Rates'!F:F)</f>
        <v>1570</v>
      </c>
      <c r="F182" s="243">
        <f t="shared" si="31"/>
        <v>0</v>
      </c>
      <c r="G182" s="243">
        <f t="shared" si="31"/>
        <v>0</v>
      </c>
      <c r="H182" s="243">
        <f t="shared" si="31"/>
        <v>0</v>
      </c>
      <c r="I182" s="243">
        <f t="shared" si="31"/>
        <v>0</v>
      </c>
      <c r="J182" s="244">
        <f t="shared" si="31"/>
        <v>0</v>
      </c>
      <c r="K182" s="485"/>
      <c r="L182" s="4"/>
    </row>
    <row r="183" spans="1:20" s="14" customFormat="1" x14ac:dyDescent="0.2">
      <c r="A183" s="4"/>
      <c r="B183" s="40" t="s">
        <v>23</v>
      </c>
      <c r="C183" s="619" t="str">
        <f t="shared" si="30"/>
        <v>Gravel pits</v>
      </c>
      <c r="D183" s="620"/>
      <c r="E183" s="246">
        <f>SUMIF('Unit Rates'!J:J,$C183,'Unit Rates'!F:F)</f>
        <v>3076.67</v>
      </c>
      <c r="F183" s="243">
        <f t="shared" si="31"/>
        <v>0</v>
      </c>
      <c r="G183" s="243">
        <f t="shared" si="31"/>
        <v>0</v>
      </c>
      <c r="H183" s="243">
        <f t="shared" si="31"/>
        <v>0</v>
      </c>
      <c r="I183" s="243">
        <f t="shared" si="31"/>
        <v>0</v>
      </c>
      <c r="J183" s="244">
        <f t="shared" si="31"/>
        <v>0</v>
      </c>
      <c r="K183" s="485"/>
      <c r="L183" s="4"/>
    </row>
    <row r="184" spans="1:20" s="14" customFormat="1" x14ac:dyDescent="0.2">
      <c r="A184" s="4"/>
      <c r="B184" s="40" t="s">
        <v>23</v>
      </c>
      <c r="C184" s="619" t="str">
        <f t="shared" si="30"/>
        <v>Well pad</v>
      </c>
      <c r="D184" s="620"/>
      <c r="E184" s="246">
        <f>SUMIF('Unit Rates'!J:J,$C184,'Unit Rates'!F:F)</f>
        <v>5785</v>
      </c>
      <c r="F184" s="243">
        <f t="shared" si="31"/>
        <v>0</v>
      </c>
      <c r="G184" s="243">
        <f t="shared" si="31"/>
        <v>0</v>
      </c>
      <c r="H184" s="243">
        <f t="shared" si="31"/>
        <v>0</v>
      </c>
      <c r="I184" s="243">
        <f t="shared" si="31"/>
        <v>0</v>
      </c>
      <c r="J184" s="244">
        <f t="shared" si="31"/>
        <v>0</v>
      </c>
      <c r="K184" s="485"/>
      <c r="L184" s="4"/>
    </row>
    <row r="185" spans="1:20" s="14" customFormat="1" x14ac:dyDescent="0.2">
      <c r="A185" s="4"/>
      <c r="B185" s="40" t="s">
        <v>23</v>
      </c>
      <c r="C185" s="619" t="str">
        <f t="shared" si="30"/>
        <v>Camp - With seeding</v>
      </c>
      <c r="D185" s="620"/>
      <c r="E185" s="246">
        <f>SUMIF('Unit Rates'!J:J,$C185,'Unit Rates'!F:F)</f>
        <v>3439</v>
      </c>
      <c r="F185" s="243">
        <f t="shared" si="31"/>
        <v>0</v>
      </c>
      <c r="G185" s="243">
        <f t="shared" si="31"/>
        <v>0</v>
      </c>
      <c r="H185" s="243">
        <f t="shared" si="31"/>
        <v>0</v>
      </c>
      <c r="I185" s="243">
        <f t="shared" si="31"/>
        <v>0</v>
      </c>
      <c r="J185" s="244">
        <f t="shared" si="31"/>
        <v>0</v>
      </c>
      <c r="K185" s="485"/>
      <c r="L185" s="4"/>
    </row>
    <row r="186" spans="1:20" s="14" customFormat="1" x14ac:dyDescent="0.2">
      <c r="A186" s="4"/>
      <c r="B186" s="40" t="s">
        <v>23</v>
      </c>
      <c r="C186" s="619" t="str">
        <f t="shared" si="30"/>
        <v>Camp - No seeding</v>
      </c>
      <c r="D186" s="620"/>
      <c r="E186" s="246">
        <f>SUMIF('Unit Rates'!J:J,$C186,'Unit Rates'!F:F)</f>
        <v>2630</v>
      </c>
      <c r="F186" s="243">
        <f t="shared" si="31"/>
        <v>0</v>
      </c>
      <c r="G186" s="243">
        <f t="shared" si="31"/>
        <v>0</v>
      </c>
      <c r="H186" s="243">
        <f t="shared" si="31"/>
        <v>0</v>
      </c>
      <c r="I186" s="243">
        <f t="shared" si="31"/>
        <v>0</v>
      </c>
      <c r="J186" s="244">
        <f t="shared" si="31"/>
        <v>0</v>
      </c>
      <c r="K186" s="485"/>
      <c r="L186" s="4"/>
      <c r="M186" s="4"/>
      <c r="N186" s="4"/>
      <c r="O186" s="4"/>
      <c r="P186" s="4"/>
      <c r="Q186" s="4"/>
      <c r="R186" s="4"/>
      <c r="S186" s="4"/>
      <c r="T186" s="4"/>
    </row>
    <row r="187" spans="1:20" s="14" customFormat="1" x14ac:dyDescent="0.2">
      <c r="A187" s="4"/>
      <c r="B187" s="40" t="s">
        <v>23</v>
      </c>
      <c r="C187" s="619" t="str">
        <f t="shared" si="30"/>
        <v>Miscellaneous clearing - With seeding</v>
      </c>
      <c r="D187" s="620"/>
      <c r="E187" s="246">
        <f>SUMIF('Unit Rates'!J:J,$C187,'Unit Rates'!F:F)</f>
        <v>3439</v>
      </c>
      <c r="F187" s="243">
        <f t="shared" si="31"/>
        <v>0</v>
      </c>
      <c r="G187" s="243">
        <f t="shared" si="31"/>
        <v>0</v>
      </c>
      <c r="H187" s="243">
        <f t="shared" si="31"/>
        <v>0</v>
      </c>
      <c r="I187" s="243">
        <f t="shared" si="31"/>
        <v>0</v>
      </c>
      <c r="J187" s="244">
        <f t="shared" si="31"/>
        <v>0</v>
      </c>
      <c r="K187" s="485"/>
      <c r="L187" s="4"/>
      <c r="M187" s="4"/>
      <c r="N187" s="4"/>
      <c r="O187" s="4"/>
      <c r="P187" s="4"/>
      <c r="Q187" s="4"/>
      <c r="R187" s="4"/>
      <c r="S187" s="4"/>
      <c r="T187" s="4"/>
    </row>
    <row r="188" spans="1:20" s="14" customFormat="1" x14ac:dyDescent="0.2">
      <c r="A188" s="4"/>
      <c r="B188" s="40" t="s">
        <v>23</v>
      </c>
      <c r="C188" s="619" t="str">
        <f t="shared" si="30"/>
        <v>Miscellaneous clearing - No seeding</v>
      </c>
      <c r="D188" s="620"/>
      <c r="E188" s="246">
        <f>SUMIF('Unit Rates'!J:J,$C188,'Unit Rates'!F:F)</f>
        <v>2630</v>
      </c>
      <c r="F188" s="243">
        <f t="shared" si="31"/>
        <v>0</v>
      </c>
      <c r="G188" s="243">
        <f t="shared" si="31"/>
        <v>0</v>
      </c>
      <c r="H188" s="243">
        <f t="shared" si="31"/>
        <v>0</v>
      </c>
      <c r="I188" s="243">
        <f t="shared" si="31"/>
        <v>0</v>
      </c>
      <c r="J188" s="244">
        <f t="shared" si="31"/>
        <v>0</v>
      </c>
      <c r="K188" s="485"/>
      <c r="L188" s="4"/>
      <c r="M188" s="4"/>
      <c r="N188" s="4"/>
      <c r="O188" s="4"/>
      <c r="P188" s="4"/>
      <c r="Q188" s="4"/>
      <c r="R188" s="4"/>
      <c r="S188" s="4"/>
      <c r="T188" s="4"/>
    </row>
    <row r="189" spans="1:20" s="14" customFormat="1" x14ac:dyDescent="0.2">
      <c r="A189" s="4"/>
      <c r="B189" s="40" t="s">
        <v>32</v>
      </c>
      <c r="C189" s="619" t="str">
        <f t="shared" si="30"/>
        <v>Fencing</v>
      </c>
      <c r="D189" s="620"/>
      <c r="E189" s="247">
        <f>SUMIF('Unit Rates'!J:J,$C189,'Unit Rates'!F:F)</f>
        <v>2.5499999999999998</v>
      </c>
      <c r="F189" s="243">
        <f t="shared" si="31"/>
        <v>0</v>
      </c>
      <c r="G189" s="243">
        <f t="shared" si="31"/>
        <v>0</v>
      </c>
      <c r="H189" s="243">
        <f t="shared" si="31"/>
        <v>0</v>
      </c>
      <c r="I189" s="243">
        <f t="shared" si="31"/>
        <v>0</v>
      </c>
      <c r="J189" s="244">
        <f t="shared" si="31"/>
        <v>0</v>
      </c>
      <c r="K189" s="485"/>
      <c r="L189" s="4"/>
      <c r="M189" s="4"/>
      <c r="N189" s="4"/>
      <c r="O189" s="4"/>
      <c r="P189" s="4"/>
      <c r="Q189" s="4"/>
      <c r="R189" s="4"/>
      <c r="S189" s="4"/>
      <c r="T189" s="4"/>
    </row>
    <row r="190" spans="1:20" s="14" customFormat="1" x14ac:dyDescent="0.2">
      <c r="A190" s="4"/>
      <c r="B190" s="40" t="s">
        <v>32</v>
      </c>
      <c r="C190" s="619" t="str">
        <f t="shared" si="30"/>
        <v>Groundwater bore &lt; 70m TVD</v>
      </c>
      <c r="D190" s="620"/>
      <c r="E190" s="246">
        <f>SUMIF('Unit Rates'!J:J,$C190,'Unit Rates'!F:F)</f>
        <v>12150</v>
      </c>
      <c r="F190" s="243">
        <f t="shared" ref="F190:J197" si="32">$E190*F150</f>
        <v>0</v>
      </c>
      <c r="G190" s="243">
        <f t="shared" si="32"/>
        <v>0</v>
      </c>
      <c r="H190" s="243">
        <f t="shared" si="32"/>
        <v>0</v>
      </c>
      <c r="I190" s="243">
        <f t="shared" si="32"/>
        <v>0</v>
      </c>
      <c r="J190" s="244">
        <f t="shared" si="32"/>
        <v>0</v>
      </c>
      <c r="K190" s="485"/>
      <c r="L190" s="4"/>
      <c r="M190" s="4"/>
      <c r="N190" s="4"/>
      <c r="O190" s="4"/>
      <c r="P190" s="4"/>
      <c r="Q190" s="4"/>
      <c r="R190" s="4"/>
      <c r="S190" s="4"/>
      <c r="T190" s="4"/>
    </row>
    <row r="191" spans="1:20" s="14" customFormat="1" x14ac:dyDescent="0.2">
      <c r="A191" s="4"/>
      <c r="B191" s="40" t="s">
        <v>32</v>
      </c>
      <c r="C191" s="619" t="str">
        <f t="shared" si="30"/>
        <v>Groundwater bore ≥ 70m TVD</v>
      </c>
      <c r="D191" s="620"/>
      <c r="E191" s="246">
        <f>SUMIF('Unit Rates'!J:J,$C191,'Unit Rates'!F:F)</f>
        <v>15150</v>
      </c>
      <c r="F191" s="243">
        <f t="shared" si="32"/>
        <v>0</v>
      </c>
      <c r="G191" s="243">
        <f t="shared" si="32"/>
        <v>0</v>
      </c>
      <c r="H191" s="243">
        <f t="shared" si="32"/>
        <v>0</v>
      </c>
      <c r="I191" s="243">
        <f t="shared" si="32"/>
        <v>0</v>
      </c>
      <c r="J191" s="244">
        <f t="shared" si="32"/>
        <v>0</v>
      </c>
      <c r="K191" s="485"/>
      <c r="L191" s="4"/>
      <c r="M191" s="4"/>
      <c r="N191" s="4"/>
      <c r="Q191" s="4"/>
      <c r="R191" s="4"/>
      <c r="S191" s="4"/>
      <c r="T191" s="4"/>
    </row>
    <row r="192" spans="1:20" s="14" customFormat="1" x14ac:dyDescent="0.2">
      <c r="A192" s="4"/>
      <c r="B192" s="40" t="s">
        <v>32</v>
      </c>
      <c r="C192" s="619" t="str">
        <f t="shared" si="30"/>
        <v>Drill sump liners</v>
      </c>
      <c r="D192" s="620"/>
      <c r="E192" s="246">
        <f>SUMIF('Unit Rates'!J:J,$C192,'Unit Rates'!F:F)</f>
        <v>5050</v>
      </c>
      <c r="F192" s="243">
        <f t="shared" si="32"/>
        <v>0</v>
      </c>
      <c r="G192" s="243">
        <f t="shared" si="32"/>
        <v>0</v>
      </c>
      <c r="H192" s="243">
        <f t="shared" si="32"/>
        <v>0</v>
      </c>
      <c r="I192" s="243">
        <f t="shared" si="32"/>
        <v>0</v>
      </c>
      <c r="J192" s="244">
        <f t="shared" si="32"/>
        <v>0</v>
      </c>
      <c r="K192" s="485"/>
      <c r="L192" s="4"/>
      <c r="M192" s="4"/>
      <c r="N192" s="423">
        <v>0</v>
      </c>
      <c r="O192" s="424" t="s">
        <v>276</v>
      </c>
      <c r="R192" s="155"/>
    </row>
    <row r="193" spans="1:25" s="14" customFormat="1" x14ac:dyDescent="0.2">
      <c r="A193" s="4"/>
      <c r="B193" s="40" t="s">
        <v>32</v>
      </c>
      <c r="C193" s="619" t="str">
        <f t="shared" si="30"/>
        <v>Drill sump</v>
      </c>
      <c r="D193" s="620"/>
      <c r="E193" s="247">
        <f>SUMIF('Unit Rates'!J:J,$C193,'Unit Rates'!F:F)</f>
        <v>2.36</v>
      </c>
      <c r="F193" s="243">
        <f t="shared" si="32"/>
        <v>0</v>
      </c>
      <c r="G193" s="243">
        <f t="shared" si="32"/>
        <v>0</v>
      </c>
      <c r="H193" s="243">
        <f t="shared" si="32"/>
        <v>0</v>
      </c>
      <c r="I193" s="243">
        <f t="shared" si="32"/>
        <v>0</v>
      </c>
      <c r="J193" s="244">
        <f t="shared" si="32"/>
        <v>0</v>
      </c>
      <c r="K193" s="485"/>
      <c r="L193" s="4"/>
      <c r="M193" s="4"/>
      <c r="N193" s="151">
        <v>1</v>
      </c>
      <c r="O193" s="152" t="s">
        <v>211</v>
      </c>
      <c r="R193" s="155"/>
    </row>
    <row r="194" spans="1:25" s="14" customFormat="1" x14ac:dyDescent="0.2">
      <c r="A194" s="4"/>
      <c r="B194" s="40" t="s">
        <v>32</v>
      </c>
      <c r="C194" s="619" t="str">
        <f t="shared" si="30"/>
        <v>Flare pit</v>
      </c>
      <c r="D194" s="620"/>
      <c r="E194" s="247">
        <f>SUMIF('Unit Rates'!J:J,$C194,'Unit Rates'!F:F)</f>
        <v>2.36</v>
      </c>
      <c r="F194" s="243">
        <f t="shared" si="32"/>
        <v>0</v>
      </c>
      <c r="G194" s="243">
        <f t="shared" si="32"/>
        <v>0</v>
      </c>
      <c r="H194" s="243">
        <f t="shared" si="32"/>
        <v>0</v>
      </c>
      <c r="I194" s="243">
        <f t="shared" si="32"/>
        <v>0</v>
      </c>
      <c r="J194" s="244">
        <f t="shared" si="32"/>
        <v>0</v>
      </c>
      <c r="K194" s="485"/>
      <c r="L194" s="4"/>
      <c r="M194" s="4"/>
      <c r="N194" s="151">
        <v>2</v>
      </c>
      <c r="O194" s="152" t="s">
        <v>212</v>
      </c>
      <c r="R194" s="155"/>
    </row>
    <row r="195" spans="1:25" s="14" customFormat="1" x14ac:dyDescent="0.2">
      <c r="A195" s="4"/>
      <c r="B195" s="40" t="s">
        <v>32</v>
      </c>
      <c r="C195" s="619" t="str">
        <f t="shared" si="30"/>
        <v>Wastewater tank</v>
      </c>
      <c r="D195" s="620"/>
      <c r="E195" s="246">
        <f>SUMIF('Unit Rates'!J:J,$C195,'Unit Rates'!F:F)</f>
        <v>15100</v>
      </c>
      <c r="F195" s="243">
        <f t="shared" si="32"/>
        <v>0</v>
      </c>
      <c r="G195" s="243">
        <f t="shared" si="32"/>
        <v>0</v>
      </c>
      <c r="H195" s="243">
        <f t="shared" si="32"/>
        <v>0</v>
      </c>
      <c r="I195" s="243">
        <f t="shared" si="32"/>
        <v>0</v>
      </c>
      <c r="J195" s="244">
        <f t="shared" si="32"/>
        <v>0</v>
      </c>
      <c r="K195" s="485"/>
      <c r="L195" s="4"/>
      <c r="M195" s="4"/>
      <c r="N195" s="425">
        <v>3</v>
      </c>
      <c r="O195" s="426" t="s">
        <v>213</v>
      </c>
      <c r="R195" s="155"/>
    </row>
    <row r="196" spans="1:25" s="14" customFormat="1" x14ac:dyDescent="0.2">
      <c r="A196" s="4"/>
      <c r="B196" s="40" t="s">
        <v>32</v>
      </c>
      <c r="C196" s="619" t="str">
        <f t="shared" si="30"/>
        <v>Wastewater treatment plant (camp)</v>
      </c>
      <c r="D196" s="620"/>
      <c r="E196" s="246">
        <f>SUMIF('Unit Rates'!J:J,$C196,'Unit Rates'!F:F)</f>
        <v>7850</v>
      </c>
      <c r="F196" s="243">
        <f t="shared" si="32"/>
        <v>0</v>
      </c>
      <c r="G196" s="243">
        <f t="shared" si="32"/>
        <v>0</v>
      </c>
      <c r="H196" s="243">
        <f t="shared" si="32"/>
        <v>0</v>
      </c>
      <c r="I196" s="243">
        <f t="shared" si="32"/>
        <v>0</v>
      </c>
      <c r="J196" s="244">
        <f t="shared" si="32"/>
        <v>0</v>
      </c>
      <c r="K196" s="485"/>
      <c r="L196" s="4"/>
      <c r="M196" s="4"/>
      <c r="N196" s="425">
        <v>4</v>
      </c>
      <c r="O196" s="426" t="s">
        <v>214</v>
      </c>
      <c r="R196" s="155"/>
    </row>
    <row r="197" spans="1:25" s="14" customFormat="1" x14ac:dyDescent="0.2">
      <c r="A197" s="4"/>
      <c r="B197" s="40" t="s">
        <v>32</v>
      </c>
      <c r="C197" s="619" t="str">
        <f t="shared" si="30"/>
        <v>Turkey's nest</v>
      </c>
      <c r="D197" s="620"/>
      <c r="E197" s="247">
        <f>SUMIF('Unit Rates'!J:J,$C197,'Unit Rates'!F:F)</f>
        <v>2.36</v>
      </c>
      <c r="F197" s="243">
        <f t="shared" si="32"/>
        <v>0</v>
      </c>
      <c r="G197" s="243">
        <f t="shared" si="32"/>
        <v>0</v>
      </c>
      <c r="H197" s="243">
        <f t="shared" si="32"/>
        <v>0</v>
      </c>
      <c r="I197" s="243">
        <f t="shared" si="32"/>
        <v>0</v>
      </c>
      <c r="J197" s="244">
        <f t="shared" si="32"/>
        <v>0</v>
      </c>
      <c r="K197" s="485"/>
      <c r="L197" s="4"/>
      <c r="M197" s="4"/>
      <c r="N197" s="427">
        <v>5</v>
      </c>
      <c r="O197" s="428" t="s">
        <v>215</v>
      </c>
      <c r="P197" s="155"/>
      <c r="Q197" s="167"/>
      <c r="R197" s="155"/>
    </row>
    <row r="198" spans="1:25" s="14" customFormat="1" x14ac:dyDescent="0.2">
      <c r="A198" s="4"/>
      <c r="B198" s="40" t="s">
        <v>32</v>
      </c>
      <c r="C198" s="619" t="str">
        <f t="shared" si="30"/>
        <v>Camp capacity</v>
      </c>
      <c r="D198" s="620"/>
      <c r="E198" s="246" t="s">
        <v>210</v>
      </c>
      <c r="F198" s="243">
        <f>IF(F98&lt;21,F99*45000,(IF(AND(F98&gt;=21,F98&lt;51),F99*65000,(IF(AND(F98&gt;=51,F98&lt;101),F99*95000,(IF(AND(F98&gt;=101,F98&lt;151),F99*140000,(IF(F98&gt;=151,F99*170000,0)))))))))</f>
        <v>0</v>
      </c>
      <c r="G198" s="243">
        <f t="shared" ref="G198:J198" si="33">IF(G98&lt;21,G99*45000,(IF(AND(G98&gt;=21,G98&lt;51),G99*65000,(IF(AND(G98&gt;=51,G98&lt;101),G99*95000,(IF(AND(G98&gt;=101,G98&lt;151),G99*140000,(IF(G98&gt;=151,G99*170000,0)))))))))</f>
        <v>0</v>
      </c>
      <c r="H198" s="243">
        <f t="shared" si="33"/>
        <v>0</v>
      </c>
      <c r="I198" s="243">
        <f t="shared" si="33"/>
        <v>0</v>
      </c>
      <c r="J198" s="244">
        <f t="shared" si="33"/>
        <v>0</v>
      </c>
      <c r="K198" s="485"/>
      <c r="L198" s="4"/>
      <c r="M198" s="4"/>
      <c r="N198" s="4"/>
      <c r="O198" s="4"/>
      <c r="P198" s="4"/>
      <c r="Q198" s="4"/>
      <c r="R198" s="4"/>
      <c r="S198" s="4"/>
      <c r="T198" s="4"/>
      <c r="U198" s="4"/>
      <c r="V198" s="4"/>
      <c r="W198" s="4"/>
      <c r="X198" s="4"/>
      <c r="Y198" s="4"/>
    </row>
    <row r="199" spans="1:25" s="14" customFormat="1" x14ac:dyDescent="0.2">
      <c r="A199" s="4"/>
      <c r="B199" s="40" t="s">
        <v>32</v>
      </c>
      <c r="C199" s="619" t="str">
        <f t="shared" si="30"/>
        <v>Flowlines / pipelines - Above and below ground</v>
      </c>
      <c r="D199" s="620"/>
      <c r="E199" s="246">
        <f>SUMIF('Unit Rates'!J:J,$C199,'Unit Rates'!F:F)</f>
        <v>12.1</v>
      </c>
      <c r="F199" s="243">
        <f t="shared" ref="F199:J200" si="34">$E199*F159</f>
        <v>0</v>
      </c>
      <c r="G199" s="243">
        <f t="shared" si="34"/>
        <v>0</v>
      </c>
      <c r="H199" s="243">
        <f t="shared" si="34"/>
        <v>0</v>
      </c>
      <c r="I199" s="243">
        <f t="shared" si="34"/>
        <v>0</v>
      </c>
      <c r="J199" s="244">
        <f t="shared" si="34"/>
        <v>0</v>
      </c>
      <c r="K199" s="485"/>
      <c r="L199" s="4"/>
      <c r="M199" s="4"/>
      <c r="N199" s="4"/>
      <c r="O199" s="4"/>
      <c r="P199" s="4"/>
      <c r="Q199" s="4"/>
      <c r="R199" s="4"/>
      <c r="S199" s="4"/>
      <c r="T199" s="4"/>
      <c r="U199" s="4"/>
      <c r="V199" s="4"/>
      <c r="W199" s="4"/>
      <c r="X199" s="4"/>
      <c r="Y199" s="4"/>
    </row>
    <row r="200" spans="1:25" s="14" customFormat="1" x14ac:dyDescent="0.2">
      <c r="A200" s="4"/>
      <c r="B200" s="40" t="s">
        <v>32</v>
      </c>
      <c r="C200" s="634" t="str">
        <f t="shared" si="30"/>
        <v>Contaminated soil testing  - Per well pad</v>
      </c>
      <c r="D200" s="625"/>
      <c r="E200" s="246">
        <f>SUMIF('Unit Rates'!J:J,$C200,'Unit Rates'!F:F)</f>
        <v>65500</v>
      </c>
      <c r="F200" s="243">
        <f t="shared" si="34"/>
        <v>0</v>
      </c>
      <c r="G200" s="243">
        <f t="shared" si="34"/>
        <v>0</v>
      </c>
      <c r="H200" s="243">
        <f t="shared" si="34"/>
        <v>0</v>
      </c>
      <c r="I200" s="243">
        <f t="shared" si="34"/>
        <v>0</v>
      </c>
      <c r="J200" s="244">
        <f t="shared" si="34"/>
        <v>0</v>
      </c>
      <c r="K200" s="485"/>
      <c r="L200" s="4"/>
      <c r="M200" s="4"/>
      <c r="N200" s="4"/>
      <c r="O200" s="4"/>
      <c r="P200" s="4"/>
      <c r="Q200" s="4"/>
      <c r="R200" s="4"/>
      <c r="S200" s="4"/>
      <c r="T200" s="4"/>
      <c r="U200" s="4"/>
      <c r="V200" s="4"/>
      <c r="W200" s="4"/>
      <c r="X200" s="4"/>
      <c r="Y200" s="4"/>
    </row>
    <row r="201" spans="1:25" s="14" customFormat="1" x14ac:dyDescent="0.2">
      <c r="A201" s="4"/>
      <c r="B201" s="40" t="s">
        <v>35</v>
      </c>
      <c r="C201" s="619" t="str">
        <f t="shared" si="30"/>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485"/>
      <c r="L201" s="4"/>
      <c r="M201" s="4"/>
      <c r="N201" s="4"/>
      <c r="O201" s="4"/>
      <c r="P201" s="4"/>
      <c r="Q201" s="4"/>
      <c r="R201" s="4"/>
      <c r="S201" s="4"/>
      <c r="T201" s="4"/>
      <c r="U201" s="4"/>
      <c r="V201" s="4"/>
      <c r="W201" s="4"/>
      <c r="X201" s="4"/>
      <c r="Y201" s="4"/>
    </row>
    <row r="202" spans="1:25" s="14" customFormat="1" x14ac:dyDescent="0.2">
      <c r="A202" s="4"/>
      <c r="B202" s="40" t="s">
        <v>35</v>
      </c>
      <c r="C202" s="619" t="str">
        <f t="shared" si="30"/>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485"/>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30"/>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485"/>
      <c r="M203" s="4"/>
      <c r="N203" s="4"/>
      <c r="O203" s="39" t="s">
        <v>216</v>
      </c>
      <c r="P203" s="39" t="s">
        <v>217</v>
      </c>
      <c r="Q203" s="39" t="s">
        <v>218</v>
      </c>
      <c r="R203" s="14" t="s">
        <v>219</v>
      </c>
      <c r="S203" s="14" t="s">
        <v>220</v>
      </c>
    </row>
    <row r="204" spans="1:25" s="14" customFormat="1" x14ac:dyDescent="0.2">
      <c r="A204" s="474"/>
      <c r="B204" s="40" t="s">
        <v>35</v>
      </c>
      <c r="C204" s="619" t="str">
        <f t="shared" si="30"/>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30"/>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485"/>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30"/>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485"/>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30"/>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485"/>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30"/>
        <v>Liners</v>
      </c>
      <c r="D208" s="620"/>
      <c r="E208" s="246">
        <f>SUMIF('Unit Rates'!J:J,$C208,'Unit Rates'!F:F)</f>
        <v>9576</v>
      </c>
      <c r="F208" s="243">
        <f>$E208*F168</f>
        <v>0</v>
      </c>
      <c r="G208" s="243">
        <f>$E208*G168</f>
        <v>0</v>
      </c>
      <c r="H208" s="243">
        <f>$E208*H168</f>
        <v>0</v>
      </c>
      <c r="I208" s="243">
        <f>$E208*I168</f>
        <v>0</v>
      </c>
      <c r="J208" s="244">
        <f>$E208*J168</f>
        <v>0</v>
      </c>
      <c r="K208" s="485"/>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30"/>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454"/>
      <c r="E210" s="485"/>
      <c r="F210" s="485"/>
      <c r="G210" s="485"/>
      <c r="H210" s="485"/>
      <c r="I210" s="485"/>
      <c r="J210" s="485"/>
      <c r="K210" s="485"/>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Ku9g/4XfWtSFCsPFLwRUlKSOvTXhjabQ3HRIzl2FKzvTZnVUVYhtuo9OzpY2xT8i6wDS7EN+wcDIEHElgifALA==" saltValue="mTNYgHQkWMoSerPtLd6G+Q==" spinCount="100000" sheet="1" objects="1" scenarios="1"/>
  <mergeCells count="147">
    <mergeCell ref="C206:D206"/>
    <mergeCell ref="C207:D207"/>
    <mergeCell ref="C208:D208"/>
    <mergeCell ref="C209:D209"/>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B168:D168"/>
    <mergeCell ref="B169:D169"/>
    <mergeCell ref="B172:D172"/>
    <mergeCell ref="C173:D173"/>
    <mergeCell ref="C174:D174"/>
    <mergeCell ref="C175:D175"/>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93:B97"/>
    <mergeCell ref="C93:C97"/>
    <mergeCell ref="K93:K97"/>
    <mergeCell ref="B98:B99"/>
    <mergeCell ref="C98:C99"/>
    <mergeCell ref="K98:K99"/>
    <mergeCell ref="B81:B85"/>
    <mergeCell ref="C81:C85"/>
    <mergeCell ref="K81:K85"/>
    <mergeCell ref="B86:B90"/>
    <mergeCell ref="C86:C90"/>
    <mergeCell ref="K86:K90"/>
    <mergeCell ref="B60:B62"/>
    <mergeCell ref="C60:C62"/>
    <mergeCell ref="K60:K62"/>
    <mergeCell ref="L60:L62"/>
    <mergeCell ref="B63:B65"/>
    <mergeCell ref="C63:C65"/>
    <mergeCell ref="K63:K65"/>
    <mergeCell ref="L63:L65"/>
    <mergeCell ref="B52:B55"/>
    <mergeCell ref="C52:C55"/>
    <mergeCell ref="K52:K55"/>
    <mergeCell ref="L52:L55"/>
    <mergeCell ref="B56:B59"/>
    <mergeCell ref="C56:C59"/>
    <mergeCell ref="K56:K59"/>
    <mergeCell ref="L56:L59"/>
    <mergeCell ref="B46:B48"/>
    <mergeCell ref="C46:C48"/>
    <mergeCell ref="K46:K48"/>
    <mergeCell ref="L46:L48"/>
    <mergeCell ref="B49:B51"/>
    <mergeCell ref="C49:C51"/>
    <mergeCell ref="K49:K51"/>
    <mergeCell ref="L49:L51"/>
    <mergeCell ref="B40:B42"/>
    <mergeCell ref="C40:C42"/>
    <mergeCell ref="K40:K42"/>
    <mergeCell ref="L40:L42"/>
    <mergeCell ref="B43:B45"/>
    <mergeCell ref="C43:C45"/>
    <mergeCell ref="K43:K45"/>
    <mergeCell ref="L43:L45"/>
    <mergeCell ref="B37:B39"/>
    <mergeCell ref="C37:C39"/>
    <mergeCell ref="K37:K39"/>
    <mergeCell ref="L37:L39"/>
    <mergeCell ref="B26:B28"/>
    <mergeCell ref="C26:C28"/>
    <mergeCell ref="K26:K28"/>
    <mergeCell ref="L26:L28"/>
    <mergeCell ref="B31:B33"/>
    <mergeCell ref="C31:C33"/>
    <mergeCell ref="K31:K33"/>
    <mergeCell ref="L31:L33"/>
    <mergeCell ref="B3:G3"/>
    <mergeCell ref="B4:G16"/>
    <mergeCell ref="I11:L11"/>
    <mergeCell ref="I12:L15"/>
    <mergeCell ref="B19:L20"/>
    <mergeCell ref="B21:L22"/>
    <mergeCell ref="B34:B36"/>
    <mergeCell ref="C34:C36"/>
    <mergeCell ref="K34:K36"/>
    <mergeCell ref="L34:L36"/>
    <mergeCell ref="I5:K5"/>
    <mergeCell ref="I6:K6"/>
    <mergeCell ref="I7:K7"/>
    <mergeCell ref="I8:K8"/>
    <mergeCell ref="I9:K9"/>
  </mergeCells>
  <dataValidations count="2">
    <dataValidation type="list" allowBlank="1" showInputMessage="1" showErrorMessage="1" sqref="F117:J117 F112:J112 F127:J127 F122:J122">
      <formula1>"0,1,2,3,4,5"</formula1>
    </dataValidation>
    <dataValidation type="list" allowBlank="1" showInputMessage="1" showErrorMessage="1" sqref="L7">
      <formula1>" ,HydrEra Facility,Westrex Facility"</formula1>
    </dataValidation>
  </dataValidations>
  <pageMargins left="0.25" right="0.25" top="0.75" bottom="0.75" header="0.3" footer="0.3"/>
  <pageSetup paperSize="8"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S225"/>
  <sheetViews>
    <sheetView zoomScaleNormal="100" workbookViewId="0">
      <selection activeCell="C1" sqref="C1"/>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485"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Title_03</v>
      </c>
      <c r="C1" s="140"/>
      <c r="K1" s="142"/>
      <c r="L1" s="140"/>
      <c r="M1" s="140"/>
      <c r="N1" s="140"/>
      <c r="O1" s="140"/>
      <c r="P1" s="140"/>
      <c r="Q1" s="140"/>
    </row>
    <row r="2" spans="1:45" x14ac:dyDescent="0.2">
      <c r="B2" s="5"/>
      <c r="J2" s="14"/>
    </row>
    <row r="3" spans="1:45" s="78" customFormat="1" ht="18" x14ac:dyDescent="0.25">
      <c r="A3" s="77"/>
      <c r="B3" s="660" t="s">
        <v>7</v>
      </c>
      <c r="C3" s="661"/>
      <c r="D3" s="661"/>
      <c r="E3" s="661"/>
      <c r="F3" s="661"/>
      <c r="G3" s="661"/>
      <c r="H3" s="14"/>
      <c r="I3" s="207" t="str">
        <f ca="1">"Table "&amp;$N$9&amp;".1 General Title details"</f>
        <v>Table 3.1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3</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485"/>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3.2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486"/>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492" t="s">
        <v>52</v>
      </c>
      <c r="C24" s="493" t="s">
        <v>54</v>
      </c>
      <c r="D24" s="37" t="s">
        <v>55</v>
      </c>
      <c r="E24" s="37"/>
      <c r="F24" s="23" t="s">
        <v>17</v>
      </c>
      <c r="G24" s="23" t="s">
        <v>150</v>
      </c>
      <c r="H24" s="23" t="s">
        <v>19</v>
      </c>
      <c r="I24" s="23" t="s">
        <v>20</v>
      </c>
      <c r="J24" s="23" t="s">
        <v>21</v>
      </c>
      <c r="K24" s="493" t="s">
        <v>2</v>
      </c>
      <c r="L24" s="494" t="s">
        <v>151</v>
      </c>
      <c r="M24" s="155"/>
      <c r="N24" s="36"/>
      <c r="O24" s="36"/>
      <c r="P24" s="36"/>
      <c r="Q24" s="36"/>
    </row>
    <row r="25" spans="1:45" s="156" customFormat="1" ht="18.75" thickBot="1" x14ac:dyDescent="0.3">
      <c r="A25" s="77"/>
      <c r="B25" s="211" t="str">
        <f ca="1">"Table "&amp;$N$9&amp;".2.1 Rehabilitation activities"</f>
        <v>Table 3.2.1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O41" si="0">IF(B26="",N25,B26)</f>
        <v>Seismic lines</v>
      </c>
      <c r="O26" s="213" t="str">
        <f>IF(C26="",O8,C26)</f>
        <v>-</v>
      </c>
      <c r="P26" s="213" t="str">
        <f t="shared" ref="P26:P67" si="1">IF(Q26=1,IF(O26&lt;&gt;"-",N26&amp;" - "&amp;O26,N26),"")</f>
        <v/>
      </c>
      <c r="Q26" s="214"/>
      <c r="R26" s="215" t="str">
        <f t="shared" ref="R26:R67"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si="0"/>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0"/>
        <v>-</v>
      </c>
      <c r="P28" s="213" t="str">
        <f t="shared" si="1"/>
        <v>Seismic lines</v>
      </c>
      <c r="Q28" s="214">
        <v>1</v>
      </c>
      <c r="R28" s="215" t="str">
        <f t="shared" si="2"/>
        <v>ha</v>
      </c>
    </row>
    <row r="29" spans="1:45" s="14" customFormat="1" ht="28.5" outlineLevel="1" x14ac:dyDescent="0.2">
      <c r="A29" s="4"/>
      <c r="B29" s="451" t="s">
        <v>277</v>
      </c>
      <c r="C29" s="488"/>
      <c r="D29" s="49" t="s">
        <v>103</v>
      </c>
      <c r="E29" s="50" t="s">
        <v>136</v>
      </c>
      <c r="F29" s="222">
        <v>0</v>
      </c>
      <c r="G29" s="222">
        <v>0</v>
      </c>
      <c r="H29" s="222">
        <v>0</v>
      </c>
      <c r="I29" s="222">
        <v>0</v>
      </c>
      <c r="J29" s="222">
        <v>0</v>
      </c>
      <c r="K29" s="473" t="s">
        <v>301</v>
      </c>
      <c r="L29" s="489"/>
      <c r="M29" s="4"/>
      <c r="N29" s="216" t="str">
        <f t="shared" si="0"/>
        <v>Flowline right of ways - By track</v>
      </c>
      <c r="O29" s="213" t="str">
        <f t="shared" si="0"/>
        <v>-</v>
      </c>
      <c r="P29" s="213" t="str">
        <f t="shared" si="1"/>
        <v>Flowline right of ways - By track</v>
      </c>
      <c r="Q29" s="214">
        <v>1</v>
      </c>
      <c r="R29" s="215" t="str">
        <f t="shared" si="2"/>
        <v>km</v>
      </c>
    </row>
    <row r="30" spans="1:45" s="14" customFormat="1" ht="28.5" outlineLevel="1" x14ac:dyDescent="0.2">
      <c r="A30" s="4"/>
      <c r="B30" s="451" t="s">
        <v>278</v>
      </c>
      <c r="C30" s="488"/>
      <c r="D30" s="49" t="s">
        <v>103</v>
      </c>
      <c r="E30" s="50" t="s">
        <v>136</v>
      </c>
      <c r="F30" s="222">
        <v>0</v>
      </c>
      <c r="G30" s="222">
        <v>0</v>
      </c>
      <c r="H30" s="222">
        <v>0</v>
      </c>
      <c r="I30" s="222">
        <v>0</v>
      </c>
      <c r="J30" s="222">
        <v>0</v>
      </c>
      <c r="K30" s="473" t="s">
        <v>301</v>
      </c>
      <c r="L30" s="489"/>
      <c r="M30" s="4"/>
      <c r="N30" s="216" t="str">
        <f t="shared" si="0"/>
        <v>Flowline right of ways - Not by track</v>
      </c>
      <c r="O30" s="213" t="str">
        <f t="shared" si="0"/>
        <v>-</v>
      </c>
      <c r="P30" s="213" t="str">
        <f t="shared" si="1"/>
        <v>Flowline right of ways - Not by track</v>
      </c>
      <c r="Q30" s="214">
        <v>1</v>
      </c>
      <c r="R30" s="215" t="str">
        <f t="shared" si="2"/>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0"/>
        <v>Access track (existing)</v>
      </c>
      <c r="O31" s="213" t="str">
        <f t="shared" si="0"/>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0"/>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0"/>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0"/>
        <v>No seeding</v>
      </c>
      <c r="P34" s="213" t="str">
        <f t="shared" si="1"/>
        <v/>
      </c>
      <c r="Q34" s="214"/>
      <c r="R34" s="215" t="str">
        <f t="shared" si="2"/>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0"/>
        <v>No seeding</v>
      </c>
      <c r="P35" s="213" t="str">
        <f t="shared" si="1"/>
        <v/>
      </c>
      <c r="Q35" s="214"/>
      <c r="R35" s="215" t="str">
        <f t="shared" si="2"/>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0"/>
        <v>No seeding</v>
      </c>
      <c r="P36" s="213" t="str">
        <f t="shared" si="1"/>
        <v>Access track (new) - No seeding</v>
      </c>
      <c r="Q36" s="214">
        <v>1</v>
      </c>
      <c r="R36" s="215" t="str">
        <f t="shared" si="2"/>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0"/>
        <v>With seeding</v>
      </c>
      <c r="P37" s="213" t="str">
        <f t="shared" si="1"/>
        <v/>
      </c>
      <c r="Q37" s="214"/>
      <c r="R37" s="215" t="str">
        <f t="shared" si="2"/>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0"/>
        <v>With seeding</v>
      </c>
      <c r="P38" s="213" t="str">
        <f t="shared" si="1"/>
        <v/>
      </c>
      <c r="Q38" s="214"/>
      <c r="R38" s="215" t="str">
        <f t="shared" si="2"/>
        <v>m</v>
      </c>
    </row>
    <row r="39" spans="1:18" s="14" customFormat="1" outlineLevel="1" x14ac:dyDescent="0.2">
      <c r="A39" s="4"/>
      <c r="B39" s="653"/>
      <c r="C39" s="641"/>
      <c r="D39" s="49" t="s">
        <v>155</v>
      </c>
      <c r="E39" s="50" t="s">
        <v>64</v>
      </c>
      <c r="F39" s="221">
        <f t="shared" ref="F39:J39" si="3">((F37*1000)*F38)/10000</f>
        <v>0</v>
      </c>
      <c r="G39" s="221">
        <f t="shared" si="3"/>
        <v>0</v>
      </c>
      <c r="H39" s="221">
        <f t="shared" si="3"/>
        <v>0</v>
      </c>
      <c r="I39" s="221">
        <f t="shared" si="3"/>
        <v>0</v>
      </c>
      <c r="J39" s="221">
        <f t="shared" si="3"/>
        <v>0</v>
      </c>
      <c r="K39" s="611"/>
      <c r="L39" s="610"/>
      <c r="M39" s="4"/>
      <c r="N39" s="216" t="str">
        <f t="shared" si="0"/>
        <v>Access track (new)</v>
      </c>
      <c r="O39" s="213" t="str">
        <f t="shared" si="0"/>
        <v>With seeding</v>
      </c>
      <c r="P39" s="213" t="str">
        <f t="shared" si="1"/>
        <v>Access track (new) - With seeding</v>
      </c>
      <c r="Q39" s="214">
        <v>1</v>
      </c>
      <c r="R39" s="215" t="str">
        <f t="shared" si="2"/>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si="0"/>
        <v>With seeding, with ripping</v>
      </c>
      <c r="P40" s="213" t="str">
        <f t="shared" si="1"/>
        <v/>
      </c>
      <c r="Q40" s="214"/>
      <c r="R40" s="215" t="str">
        <f t="shared" si="2"/>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0"/>
        <v>With seeding, with ripping</v>
      </c>
      <c r="P41" s="213" t="str">
        <f t="shared" si="1"/>
        <v/>
      </c>
      <c r="Q41" s="214"/>
      <c r="R41" s="215" t="str">
        <f t="shared" si="2"/>
        <v>m</v>
      </c>
    </row>
    <row r="42" spans="1:18" s="14" customFormat="1" outlineLevel="1" x14ac:dyDescent="0.2">
      <c r="A42" s="4"/>
      <c r="B42" s="645"/>
      <c r="C42" s="648"/>
      <c r="D42" s="49" t="s">
        <v>155</v>
      </c>
      <c r="E42" s="50" t="s">
        <v>64</v>
      </c>
      <c r="F42" s="221">
        <f>(F40*F41)/10^4</f>
        <v>0</v>
      </c>
      <c r="G42" s="221">
        <f t="shared" ref="G42:J42" si="4">(G40*G41)/10^4</f>
        <v>0</v>
      </c>
      <c r="H42" s="221">
        <f t="shared" si="4"/>
        <v>0</v>
      </c>
      <c r="I42" s="221">
        <f t="shared" si="4"/>
        <v>0</v>
      </c>
      <c r="J42" s="221">
        <f t="shared" si="4"/>
        <v>0</v>
      </c>
      <c r="K42" s="617"/>
      <c r="L42" s="614"/>
      <c r="M42" s="4"/>
      <c r="N42" s="216" t="str">
        <f t="shared" ref="N42:O57" si="5">IF(B42="",N41,B42)</f>
        <v>Laydown areas</v>
      </c>
      <c r="O42" s="213" t="str">
        <f t="shared" si="5"/>
        <v>With seeding, with ripping</v>
      </c>
      <c r="P42" s="213" t="str">
        <f t="shared" si="1"/>
        <v>Laydown areas - With seeding, with ripping</v>
      </c>
      <c r="Q42" s="214">
        <v>1</v>
      </c>
      <c r="R42" s="215" t="str">
        <f t="shared" si="2"/>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5"/>
        <v>Laydown areas</v>
      </c>
      <c r="O43" s="213" t="str">
        <f t="shared" si="5"/>
        <v>With seeding, no ripping</v>
      </c>
      <c r="P43" s="213" t="str">
        <f t="shared" si="1"/>
        <v/>
      </c>
      <c r="Q43" s="214"/>
      <c r="R43" s="215" t="str">
        <f t="shared" si="2"/>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5"/>
        <v>Laydown areas</v>
      </c>
      <c r="O44" s="213" t="str">
        <f t="shared" si="5"/>
        <v>With seeding, no ripping</v>
      </c>
      <c r="P44" s="213" t="str">
        <f t="shared" si="1"/>
        <v/>
      </c>
      <c r="Q44" s="214"/>
      <c r="R44" s="215" t="str">
        <f t="shared" si="2"/>
        <v>m</v>
      </c>
    </row>
    <row r="45" spans="1:18" s="14" customFormat="1" outlineLevel="1" x14ac:dyDescent="0.2">
      <c r="A45" s="4"/>
      <c r="B45" s="645"/>
      <c r="C45" s="648"/>
      <c r="D45" s="49" t="s">
        <v>155</v>
      </c>
      <c r="E45" s="50" t="s">
        <v>64</v>
      </c>
      <c r="F45" s="221">
        <f>(F43*F44)/10^4</f>
        <v>0</v>
      </c>
      <c r="G45" s="221">
        <f t="shared" ref="G45:J45" si="6">(G43*G44)/10^4</f>
        <v>0</v>
      </c>
      <c r="H45" s="221">
        <f t="shared" si="6"/>
        <v>0</v>
      </c>
      <c r="I45" s="221">
        <f t="shared" si="6"/>
        <v>0</v>
      </c>
      <c r="J45" s="221">
        <f t="shared" si="6"/>
        <v>0</v>
      </c>
      <c r="K45" s="617"/>
      <c r="L45" s="614"/>
      <c r="M45" s="4"/>
      <c r="N45" s="216" t="str">
        <f t="shared" si="5"/>
        <v>Laydown areas</v>
      </c>
      <c r="O45" s="213" t="str">
        <f t="shared" si="5"/>
        <v>With seeding, no ripping</v>
      </c>
      <c r="P45" s="213" t="str">
        <f t="shared" si="1"/>
        <v>Laydown areas - With seeding, no ripping</v>
      </c>
      <c r="Q45" s="214">
        <v>1</v>
      </c>
      <c r="R45" s="215" t="str">
        <f t="shared" si="2"/>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5"/>
        <v>Laydown areas</v>
      </c>
      <c r="O46" s="213" t="str">
        <f t="shared" si="5"/>
        <v>No seeding, with ripping</v>
      </c>
      <c r="P46" s="213" t="str">
        <f t="shared" si="1"/>
        <v/>
      </c>
      <c r="Q46" s="214"/>
      <c r="R46" s="215" t="str">
        <f t="shared" si="2"/>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5"/>
        <v>Laydown areas</v>
      </c>
      <c r="O47" s="213" t="str">
        <f t="shared" si="5"/>
        <v>No seeding, with ripping</v>
      </c>
      <c r="P47" s="213" t="str">
        <f t="shared" si="1"/>
        <v/>
      </c>
      <c r="Q47" s="214"/>
      <c r="R47" s="215" t="str">
        <f t="shared" si="2"/>
        <v>m</v>
      </c>
    </row>
    <row r="48" spans="1:18" s="14" customFormat="1" outlineLevel="1" x14ac:dyDescent="0.2">
      <c r="A48" s="4"/>
      <c r="B48" s="645"/>
      <c r="C48" s="648"/>
      <c r="D48" s="49" t="s">
        <v>155</v>
      </c>
      <c r="E48" s="50" t="s">
        <v>64</v>
      </c>
      <c r="F48" s="221">
        <f>(F46*F47)/10^4</f>
        <v>0</v>
      </c>
      <c r="G48" s="221">
        <f t="shared" ref="G48:J48" si="7">(G46*G47)/10^4</f>
        <v>0</v>
      </c>
      <c r="H48" s="221">
        <f t="shared" si="7"/>
        <v>0</v>
      </c>
      <c r="I48" s="221">
        <f t="shared" si="7"/>
        <v>0</v>
      </c>
      <c r="J48" s="221">
        <f t="shared" si="7"/>
        <v>0</v>
      </c>
      <c r="K48" s="617"/>
      <c r="L48" s="614"/>
      <c r="M48" s="4"/>
      <c r="N48" s="216" t="str">
        <f t="shared" si="5"/>
        <v>Laydown areas</v>
      </c>
      <c r="O48" s="213" t="str">
        <f t="shared" si="5"/>
        <v>No seeding, with ripping</v>
      </c>
      <c r="P48" s="213" t="str">
        <f t="shared" si="1"/>
        <v>Laydown areas - No seeding, with ripping</v>
      </c>
      <c r="Q48" s="214">
        <v>1</v>
      </c>
      <c r="R48" s="215" t="str">
        <f t="shared" si="2"/>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5"/>
        <v>Laydown areas</v>
      </c>
      <c r="O49" s="213" t="str">
        <f t="shared" si="5"/>
        <v>No seeding, no ripping</v>
      </c>
      <c r="P49" s="213" t="str">
        <f t="shared" si="1"/>
        <v/>
      </c>
      <c r="Q49" s="214"/>
      <c r="R49" s="215" t="str">
        <f t="shared" si="2"/>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5"/>
        <v>Laydown areas</v>
      </c>
      <c r="O50" s="213" t="str">
        <f t="shared" si="5"/>
        <v>No seeding, no ripping</v>
      </c>
      <c r="P50" s="213" t="str">
        <f t="shared" si="1"/>
        <v/>
      </c>
      <c r="Q50" s="214"/>
      <c r="R50" s="215" t="str">
        <f t="shared" si="2"/>
        <v>m</v>
      </c>
    </row>
    <row r="51" spans="1:18" s="14" customFormat="1" outlineLevel="1" x14ac:dyDescent="0.2">
      <c r="A51" s="4"/>
      <c r="B51" s="645"/>
      <c r="C51" s="648"/>
      <c r="D51" s="49" t="s">
        <v>155</v>
      </c>
      <c r="E51" s="50" t="s">
        <v>64</v>
      </c>
      <c r="F51" s="221">
        <f>(F49*F50)/10^4</f>
        <v>0</v>
      </c>
      <c r="G51" s="221">
        <f t="shared" ref="G51:J51" si="8">(G49*G50)/10^4</f>
        <v>0</v>
      </c>
      <c r="H51" s="221">
        <f t="shared" si="8"/>
        <v>0</v>
      </c>
      <c r="I51" s="221">
        <f t="shared" si="8"/>
        <v>0</v>
      </c>
      <c r="J51" s="221">
        <f t="shared" si="8"/>
        <v>0</v>
      </c>
      <c r="K51" s="617"/>
      <c r="L51" s="614"/>
      <c r="M51" s="4"/>
      <c r="N51" s="216" t="str">
        <f t="shared" si="5"/>
        <v>Laydown areas</v>
      </c>
      <c r="O51" s="213" t="str">
        <f t="shared" si="5"/>
        <v>No seeding, no ripping</v>
      </c>
      <c r="P51" s="213" t="str">
        <f t="shared" si="1"/>
        <v>Laydown areas - No seeding, no ripping</v>
      </c>
      <c r="Q51" s="214">
        <v>1</v>
      </c>
      <c r="R51" s="215" t="str">
        <f t="shared" si="2"/>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5"/>
        <v>Gravel pits</v>
      </c>
      <c r="O52" s="213" t="str">
        <f t="shared" si="5"/>
        <v>-</v>
      </c>
      <c r="P52" s="213" t="str">
        <f t="shared" si="1"/>
        <v/>
      </c>
      <c r="Q52" s="214"/>
      <c r="R52" s="215" t="str">
        <f t="shared" si="2"/>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5"/>
        <v>Gravel pits</v>
      </c>
      <c r="O53" s="213" t="str">
        <f t="shared" si="5"/>
        <v>-</v>
      </c>
      <c r="P53" s="213" t="str">
        <f t="shared" si="1"/>
        <v/>
      </c>
      <c r="Q53" s="214"/>
      <c r="R53" s="215" t="str">
        <f t="shared" si="2"/>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5"/>
        <v>Gravel pits</v>
      </c>
      <c r="O54" s="213" t="str">
        <f t="shared" si="5"/>
        <v>-</v>
      </c>
      <c r="P54" s="213" t="str">
        <f t="shared" si="1"/>
        <v/>
      </c>
      <c r="Q54" s="214"/>
      <c r="R54" s="215" t="str">
        <f t="shared" si="2"/>
        <v>m</v>
      </c>
    </row>
    <row r="55" spans="1:18" s="14" customFormat="1" outlineLevel="1" x14ac:dyDescent="0.2">
      <c r="A55" s="4"/>
      <c r="B55" s="653"/>
      <c r="C55" s="641"/>
      <c r="D55" s="49" t="s">
        <v>73</v>
      </c>
      <c r="E55" s="50" t="s">
        <v>64</v>
      </c>
      <c r="F55" s="221">
        <f>(F53*F54*F52)/10^4</f>
        <v>0</v>
      </c>
      <c r="G55" s="221">
        <f t="shared" ref="G55:J55" si="9">(G53*G54*G52)/10^4</f>
        <v>0</v>
      </c>
      <c r="H55" s="221">
        <f t="shared" si="9"/>
        <v>0</v>
      </c>
      <c r="I55" s="221">
        <f t="shared" si="9"/>
        <v>0</v>
      </c>
      <c r="J55" s="221">
        <f t="shared" si="9"/>
        <v>0</v>
      </c>
      <c r="K55" s="611"/>
      <c r="L55" s="610"/>
      <c r="M55" s="4"/>
      <c r="N55" s="216" t="str">
        <f t="shared" si="5"/>
        <v>Gravel pits</v>
      </c>
      <c r="O55" s="213" t="str">
        <f t="shared" si="5"/>
        <v>-</v>
      </c>
      <c r="P55" s="213" t="str">
        <f t="shared" si="1"/>
        <v>Gravel pits</v>
      </c>
      <c r="Q55" s="214">
        <v>1</v>
      </c>
      <c r="R55" s="215" t="str">
        <f t="shared" si="2"/>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5"/>
        <v>Well pad</v>
      </c>
      <c r="O56" s="213" t="str">
        <f t="shared" si="5"/>
        <v>-</v>
      </c>
      <c r="P56" s="213" t="str">
        <f t="shared" si="1"/>
        <v/>
      </c>
      <c r="Q56" s="214"/>
      <c r="R56" s="215" t="str">
        <f t="shared" si="2"/>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5"/>
        <v>Well pad</v>
      </c>
      <c r="O57" s="213" t="str">
        <f t="shared" si="5"/>
        <v>-</v>
      </c>
      <c r="P57" s="213" t="str">
        <f t="shared" si="1"/>
        <v/>
      </c>
      <c r="Q57" s="214"/>
      <c r="R57" s="215" t="str">
        <f t="shared" si="2"/>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ref="N58:O73" si="10">IF(B58="",N57,B58)</f>
        <v>Well pad</v>
      </c>
      <c r="O58" s="213" t="str">
        <f t="shared" si="10"/>
        <v>-</v>
      </c>
      <c r="P58" s="213" t="str">
        <f t="shared" si="1"/>
        <v/>
      </c>
      <c r="Q58" s="214"/>
      <c r="R58" s="215" t="str">
        <f t="shared" si="2"/>
        <v>m</v>
      </c>
    </row>
    <row r="59" spans="1:18" s="14" customFormat="1" outlineLevel="1" x14ac:dyDescent="0.2">
      <c r="A59" s="4"/>
      <c r="B59" s="653"/>
      <c r="C59" s="641"/>
      <c r="D59" s="49" t="s">
        <v>73</v>
      </c>
      <c r="E59" s="50" t="s">
        <v>64</v>
      </c>
      <c r="F59" s="221">
        <f>(F57*F58*F56)/10^4</f>
        <v>0</v>
      </c>
      <c r="G59" s="221">
        <f t="shared" ref="G59:J59" si="11">(G57*G58*G56)/10^4</f>
        <v>0</v>
      </c>
      <c r="H59" s="221">
        <f t="shared" si="11"/>
        <v>0</v>
      </c>
      <c r="I59" s="221">
        <f t="shared" si="11"/>
        <v>0</v>
      </c>
      <c r="J59" s="221">
        <f t="shared" si="11"/>
        <v>0</v>
      </c>
      <c r="K59" s="611"/>
      <c r="L59" s="610"/>
      <c r="M59" s="4"/>
      <c r="N59" s="216" t="str">
        <f t="shared" si="10"/>
        <v>Well pad</v>
      </c>
      <c r="O59" s="213" t="str">
        <f>IF(C59="",O58,C59)</f>
        <v>-</v>
      </c>
      <c r="P59" s="213" t="str">
        <f t="shared" si="1"/>
        <v>Well pad</v>
      </c>
      <c r="Q59" s="214">
        <v>1</v>
      </c>
      <c r="R59" s="215" t="str">
        <f t="shared" si="2"/>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0"/>
        <v>Camp</v>
      </c>
      <c r="O60" s="213" t="str">
        <f t="shared" si="10"/>
        <v>With seeding</v>
      </c>
      <c r="P60" s="213" t="str">
        <f t="shared" si="1"/>
        <v/>
      </c>
      <c r="Q60" s="214"/>
      <c r="R60" s="215" t="str">
        <f t="shared" si="2"/>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0"/>
        <v>Camp</v>
      </c>
      <c r="O61" s="213" t="str">
        <f t="shared" si="10"/>
        <v>With seeding</v>
      </c>
      <c r="P61" s="213" t="str">
        <f t="shared" si="1"/>
        <v/>
      </c>
      <c r="Q61" s="214"/>
      <c r="R61" s="215" t="str">
        <f t="shared" si="2"/>
        <v>m</v>
      </c>
    </row>
    <row r="62" spans="1:18" s="14" customFormat="1" outlineLevel="1" x14ac:dyDescent="0.2">
      <c r="A62" s="4"/>
      <c r="B62" s="642"/>
      <c r="C62" s="651"/>
      <c r="D62" s="49" t="s">
        <v>73</v>
      </c>
      <c r="E62" s="50" t="s">
        <v>64</v>
      </c>
      <c r="F62" s="221">
        <f>(F60*F61)/10^4</f>
        <v>0</v>
      </c>
      <c r="G62" s="221">
        <f t="shared" ref="G62:J62" si="12">(G60*G61)/10^4</f>
        <v>0</v>
      </c>
      <c r="H62" s="221">
        <f t="shared" si="12"/>
        <v>0</v>
      </c>
      <c r="I62" s="221">
        <f t="shared" si="12"/>
        <v>0</v>
      </c>
      <c r="J62" s="221">
        <f t="shared" si="12"/>
        <v>0</v>
      </c>
      <c r="K62" s="618"/>
      <c r="L62" s="610"/>
      <c r="M62" s="4"/>
      <c r="N62" s="216" t="str">
        <f t="shared" si="10"/>
        <v>Camp</v>
      </c>
      <c r="O62" s="213" t="str">
        <f t="shared" si="10"/>
        <v>With seeding</v>
      </c>
      <c r="P62" s="213" t="str">
        <f t="shared" si="1"/>
        <v>Camp - With seeding</v>
      </c>
      <c r="Q62" s="214">
        <v>1</v>
      </c>
      <c r="R62" s="215" t="str">
        <f t="shared" si="2"/>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0"/>
        <v>Camp</v>
      </c>
      <c r="O63" s="213" t="str">
        <f t="shared" si="10"/>
        <v>No seeding</v>
      </c>
      <c r="P63" s="213" t="str">
        <f t="shared" si="1"/>
        <v/>
      </c>
      <c r="Q63" s="214"/>
      <c r="R63" s="215" t="str">
        <f t="shared" si="2"/>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0"/>
        <v>Camp</v>
      </c>
      <c r="O64" s="213" t="str">
        <f t="shared" si="10"/>
        <v>No seeding</v>
      </c>
      <c r="P64" s="213" t="str">
        <f t="shared" si="1"/>
        <v/>
      </c>
      <c r="Q64" s="214"/>
      <c r="R64" s="215" t="str">
        <f t="shared" si="2"/>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0"/>
        <v>Camp</v>
      </c>
      <c r="O65" s="213" t="str">
        <f t="shared" si="10"/>
        <v>No seeding</v>
      </c>
      <c r="P65" s="213" t="str">
        <f t="shared" si="1"/>
        <v>Camp - No seeding</v>
      </c>
      <c r="Q65" s="214">
        <v>1</v>
      </c>
      <c r="R65" s="215" t="str">
        <f t="shared" si="2"/>
        <v>ha</v>
      </c>
    </row>
    <row r="66" spans="1:24" s="14" customFormat="1" ht="28.5" outlineLevel="1" x14ac:dyDescent="0.2">
      <c r="A66" s="157"/>
      <c r="B66" s="410" t="s">
        <v>76</v>
      </c>
      <c r="C66" s="411" t="s">
        <v>234</v>
      </c>
      <c r="D66" s="49" t="s">
        <v>73</v>
      </c>
      <c r="E66" s="50" t="s">
        <v>64</v>
      </c>
      <c r="F66" s="51">
        <v>0</v>
      </c>
      <c r="G66" s="51">
        <v>0</v>
      </c>
      <c r="H66" s="51">
        <v>0</v>
      </c>
      <c r="I66" s="51">
        <v>0</v>
      </c>
      <c r="J66" s="51">
        <v>0</v>
      </c>
      <c r="K66" s="487" t="s">
        <v>159</v>
      </c>
      <c r="L66" s="57"/>
      <c r="M66" s="157"/>
      <c r="N66" s="216" t="str">
        <f t="shared" si="10"/>
        <v>Miscellaneous clearing</v>
      </c>
      <c r="O66" s="213" t="str">
        <f t="shared" si="10"/>
        <v>With seeding</v>
      </c>
      <c r="P66" s="213" t="str">
        <f t="shared" si="1"/>
        <v>Miscellaneous clearing - With seeding</v>
      </c>
      <c r="Q66" s="214">
        <v>1</v>
      </c>
      <c r="R66" s="215" t="str">
        <f t="shared" si="2"/>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si="10"/>
        <v>Miscellaneous clearing</v>
      </c>
      <c r="O67" s="218" t="str">
        <f t="shared" si="10"/>
        <v>No seeding</v>
      </c>
      <c r="P67" s="218" t="str">
        <f t="shared" si="1"/>
        <v>Miscellaneous clearing - No seeding</v>
      </c>
      <c r="Q67" s="219">
        <v>1</v>
      </c>
      <c r="R67" s="220" t="str">
        <f t="shared" si="2"/>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3.2.2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P74" si="13">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si="13"/>
        <v/>
      </c>
      <c r="Q71" s="230"/>
      <c r="R71" s="231" t="str">
        <f>E71</f>
        <v>#</v>
      </c>
    </row>
    <row r="72" spans="1:24" s="159" customFormat="1" ht="28.5" outlineLevel="1" x14ac:dyDescent="0.2">
      <c r="A72" s="4"/>
      <c r="B72" s="496" t="s">
        <v>286</v>
      </c>
      <c r="C72" s="495" t="s">
        <v>70</v>
      </c>
      <c r="D72" s="64" t="s">
        <v>85</v>
      </c>
      <c r="E72" s="65" t="s">
        <v>82</v>
      </c>
      <c r="F72" s="385">
        <v>0</v>
      </c>
      <c r="G72" s="385">
        <v>0</v>
      </c>
      <c r="H72" s="385">
        <v>0</v>
      </c>
      <c r="I72" s="385">
        <v>0</v>
      </c>
      <c r="J72" s="385">
        <v>0</v>
      </c>
      <c r="K72" s="110" t="s">
        <v>161</v>
      </c>
      <c r="L72" s="57"/>
      <c r="M72" s="4"/>
      <c r="N72" s="212" t="str">
        <f t="shared" si="10"/>
        <v>Groundwater bore ≥ 70m TVD (retained)</v>
      </c>
      <c r="O72" s="419" t="str">
        <f t="shared" si="10"/>
        <v>-</v>
      </c>
      <c r="P72" s="419" t="str">
        <f t="shared" si="13"/>
        <v/>
      </c>
      <c r="Q72" s="420"/>
      <c r="R72" s="215" t="str">
        <f>E72</f>
        <v>#</v>
      </c>
    </row>
    <row r="73" spans="1:24" s="159" customFormat="1" ht="71.25" outlineLevel="1" x14ac:dyDescent="0.2">
      <c r="A73" s="4"/>
      <c r="B73" s="496" t="s">
        <v>285</v>
      </c>
      <c r="C73" s="495" t="s">
        <v>70</v>
      </c>
      <c r="D73" s="194" t="s">
        <v>162</v>
      </c>
      <c r="E73" s="67" t="s">
        <v>64</v>
      </c>
      <c r="F73" s="51">
        <v>0</v>
      </c>
      <c r="G73" s="51">
        <v>0</v>
      </c>
      <c r="H73" s="51">
        <v>0</v>
      </c>
      <c r="I73" s="51">
        <v>0</v>
      </c>
      <c r="J73" s="51">
        <v>0</v>
      </c>
      <c r="K73" s="110" t="s">
        <v>163</v>
      </c>
      <c r="L73" s="57"/>
      <c r="M73" s="4"/>
      <c r="N73" s="212" t="str">
        <f t="shared" si="10"/>
        <v>Access track (new or existing retained)</v>
      </c>
      <c r="O73" s="419" t="str">
        <f t="shared" si="10"/>
        <v>-</v>
      </c>
      <c r="P73" s="419" t="str">
        <f t="shared" si="13"/>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ref="N74:O74" si="14">IF(B74="",N73,B74)</f>
        <v>Turkey's nest (retained)</v>
      </c>
      <c r="O74" s="218" t="str">
        <f t="shared" si="14"/>
        <v>-</v>
      </c>
      <c r="P74" s="218" t="str">
        <f t="shared" si="13"/>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3.2.3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O92" si="15">IF(B77="",N76,B77)</f>
        <v>Fencing</v>
      </c>
      <c r="O77" s="229" t="str">
        <f t="shared" si="15"/>
        <v>-</v>
      </c>
      <c r="P77" s="229" t="str">
        <f>IF(Q77=1,IF(O77&lt;&gt;"-",N77&amp;" - "&amp;O77,N77),"")</f>
        <v>Fencing</v>
      </c>
      <c r="Q77" s="232">
        <v>1</v>
      </c>
      <c r="R77" s="231" t="str">
        <f t="shared" ref="R77:R101" si="16">E77</f>
        <v>m</v>
      </c>
    </row>
    <row r="78" spans="1:24" s="14" customFormat="1" ht="28.5" outlineLevel="1" x14ac:dyDescent="0.2">
      <c r="A78" s="4"/>
      <c r="B78" s="496" t="s">
        <v>80</v>
      </c>
      <c r="C78" s="495" t="s">
        <v>70</v>
      </c>
      <c r="D78" s="64" t="s">
        <v>85</v>
      </c>
      <c r="E78" s="65" t="s">
        <v>82</v>
      </c>
      <c r="F78" s="51">
        <v>0</v>
      </c>
      <c r="G78" s="51">
        <v>0</v>
      </c>
      <c r="H78" s="51">
        <v>0</v>
      </c>
      <c r="I78" s="51">
        <v>0</v>
      </c>
      <c r="J78" s="51">
        <v>0</v>
      </c>
      <c r="K78" s="110" t="s">
        <v>165</v>
      </c>
      <c r="L78" s="57"/>
      <c r="M78" s="4"/>
      <c r="N78" s="212" t="str">
        <f t="shared" si="15"/>
        <v>Groundwater bore &lt; 70m TVD</v>
      </c>
      <c r="O78" s="213" t="str">
        <f t="shared" si="15"/>
        <v>-</v>
      </c>
      <c r="P78" s="213" t="str">
        <f t="shared" ref="P78:P129" si="17">IF(Q78=1,IF(O78&lt;&gt;"-",N78&amp;" - "&amp;O78,N78),"")</f>
        <v>Groundwater bore &lt; 70m TVD</v>
      </c>
      <c r="Q78" s="233">
        <v>1</v>
      </c>
      <c r="R78" s="215" t="str">
        <f t="shared" si="16"/>
        <v>#</v>
      </c>
    </row>
    <row r="79" spans="1:24" s="14" customFormat="1" ht="28.5" outlineLevel="1" x14ac:dyDescent="0.2">
      <c r="A79" s="4"/>
      <c r="B79" s="496" t="s">
        <v>83</v>
      </c>
      <c r="C79" s="495" t="s">
        <v>70</v>
      </c>
      <c r="D79" s="64" t="s">
        <v>85</v>
      </c>
      <c r="E79" s="65" t="s">
        <v>82</v>
      </c>
      <c r="F79" s="51">
        <v>0</v>
      </c>
      <c r="G79" s="51">
        <v>0</v>
      </c>
      <c r="H79" s="51">
        <v>0</v>
      </c>
      <c r="I79" s="51">
        <v>0</v>
      </c>
      <c r="J79" s="51">
        <v>0</v>
      </c>
      <c r="K79" s="110" t="s">
        <v>166</v>
      </c>
      <c r="L79" s="57"/>
      <c r="M79" s="4"/>
      <c r="N79" s="212" t="str">
        <f t="shared" si="15"/>
        <v>Groundwater bore ≥ 70m TVD</v>
      </c>
      <c r="O79" s="213" t="str">
        <f t="shared" si="15"/>
        <v>-</v>
      </c>
      <c r="P79" s="213" t="str">
        <f t="shared" si="17"/>
        <v>Groundwater bore ≥ 70m TVD</v>
      </c>
      <c r="Q79" s="233">
        <v>1</v>
      </c>
      <c r="R79" s="215" t="str">
        <f t="shared" si="16"/>
        <v>#</v>
      </c>
    </row>
    <row r="80" spans="1:24" s="14" customFormat="1" outlineLevel="1" x14ac:dyDescent="0.2">
      <c r="A80" s="4"/>
      <c r="B80" s="496" t="s">
        <v>84</v>
      </c>
      <c r="C80" s="495" t="s">
        <v>70</v>
      </c>
      <c r="D80" s="64" t="s">
        <v>85</v>
      </c>
      <c r="E80" s="65" t="s">
        <v>82</v>
      </c>
      <c r="F80" s="51">
        <v>0</v>
      </c>
      <c r="G80" s="51">
        <v>0</v>
      </c>
      <c r="H80" s="51">
        <v>0</v>
      </c>
      <c r="I80" s="51">
        <v>0</v>
      </c>
      <c r="J80" s="51">
        <v>0</v>
      </c>
      <c r="K80" s="110" t="s">
        <v>167</v>
      </c>
      <c r="L80" s="57"/>
      <c r="M80" s="4"/>
      <c r="N80" s="212" t="str">
        <f t="shared" si="15"/>
        <v>Drill sump liners</v>
      </c>
      <c r="O80" s="213" t="str">
        <f t="shared" si="15"/>
        <v>-</v>
      </c>
      <c r="P80" s="213" t="str">
        <f t="shared" si="17"/>
        <v>Drill sump liners</v>
      </c>
      <c r="Q80" s="233">
        <v>1</v>
      </c>
      <c r="R80" s="215" t="str">
        <f t="shared" si="16"/>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15"/>
        <v>Drill sump</v>
      </c>
      <c r="O81" s="213" t="str">
        <f t="shared" si="15"/>
        <v>-</v>
      </c>
      <c r="P81" s="213" t="str">
        <f t="shared" si="17"/>
        <v/>
      </c>
      <c r="Q81" s="233"/>
      <c r="R81" s="215" t="str">
        <f t="shared" si="16"/>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15"/>
        <v>Drill sump</v>
      </c>
      <c r="O82" s="213" t="str">
        <f t="shared" si="15"/>
        <v>-</v>
      </c>
      <c r="P82" s="213" t="str">
        <f t="shared" si="17"/>
        <v/>
      </c>
      <c r="Q82" s="233"/>
      <c r="R82" s="215" t="str">
        <f t="shared" si="16"/>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15"/>
        <v>Drill sump</v>
      </c>
      <c r="O83" s="213" t="str">
        <f t="shared" si="15"/>
        <v>-</v>
      </c>
      <c r="P83" s="213" t="str">
        <f t="shared" si="17"/>
        <v/>
      </c>
      <c r="Q83" s="233"/>
      <c r="R83" s="215" t="str">
        <f t="shared" si="16"/>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15"/>
        <v>Drill sump</v>
      </c>
      <c r="O84" s="213" t="str">
        <f t="shared" si="15"/>
        <v>-</v>
      </c>
      <c r="P84" s="213" t="str">
        <f t="shared" si="17"/>
        <v/>
      </c>
      <c r="Q84" s="233"/>
      <c r="R84" s="215" t="str">
        <f t="shared" si="16"/>
        <v>m</v>
      </c>
    </row>
    <row r="85" spans="1:18" s="14" customFormat="1" ht="15.75" outlineLevel="1" x14ac:dyDescent="0.2">
      <c r="A85" s="4"/>
      <c r="B85" s="658"/>
      <c r="C85" s="652"/>
      <c r="D85" s="64" t="s">
        <v>87</v>
      </c>
      <c r="E85" s="65" t="s">
        <v>133</v>
      </c>
      <c r="F85" s="223">
        <f>F81*(F82*F83*F84)</f>
        <v>0</v>
      </c>
      <c r="G85" s="223">
        <f t="shared" ref="G85:J85" si="18">G81*(G82*G83*G84)</f>
        <v>0</v>
      </c>
      <c r="H85" s="223">
        <f t="shared" si="18"/>
        <v>0</v>
      </c>
      <c r="I85" s="223">
        <f t="shared" si="18"/>
        <v>0</v>
      </c>
      <c r="J85" s="223">
        <f t="shared" si="18"/>
        <v>0</v>
      </c>
      <c r="K85" s="654"/>
      <c r="L85" s="57"/>
      <c r="M85" s="4"/>
      <c r="N85" s="212" t="str">
        <f t="shared" si="15"/>
        <v>Drill sump</v>
      </c>
      <c r="O85" s="213" t="str">
        <f t="shared" si="15"/>
        <v>-</v>
      </c>
      <c r="P85" s="213" t="str">
        <f t="shared" si="17"/>
        <v>Drill sump</v>
      </c>
      <c r="Q85" s="233">
        <v>1</v>
      </c>
      <c r="R85" s="215" t="str">
        <f t="shared" si="16"/>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15"/>
        <v>Flare pit</v>
      </c>
      <c r="O86" s="213" t="str">
        <f t="shared" si="15"/>
        <v>-</v>
      </c>
      <c r="P86" s="213" t="str">
        <f t="shared" si="17"/>
        <v/>
      </c>
      <c r="Q86" s="233"/>
      <c r="R86" s="215" t="str">
        <f t="shared" si="16"/>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15"/>
        <v>Flare pit</v>
      </c>
      <c r="O87" s="213" t="str">
        <f t="shared" si="15"/>
        <v>-</v>
      </c>
      <c r="P87" s="213" t="str">
        <f t="shared" si="17"/>
        <v/>
      </c>
      <c r="Q87" s="233"/>
      <c r="R87" s="215" t="str">
        <f t="shared" si="16"/>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15"/>
        <v>Flare pit</v>
      </c>
      <c r="O88" s="213" t="str">
        <f t="shared" si="15"/>
        <v>-</v>
      </c>
      <c r="P88" s="213" t="str">
        <f t="shared" si="17"/>
        <v/>
      </c>
      <c r="Q88" s="233"/>
      <c r="R88" s="215" t="str">
        <f t="shared" si="16"/>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15"/>
        <v>Flare pit</v>
      </c>
      <c r="O89" s="213" t="str">
        <f t="shared" si="15"/>
        <v>-</v>
      </c>
      <c r="P89" s="213" t="str">
        <f t="shared" si="17"/>
        <v/>
      </c>
      <c r="Q89" s="233"/>
      <c r="R89" s="215" t="str">
        <f t="shared" si="16"/>
        <v>m</v>
      </c>
    </row>
    <row r="90" spans="1:18" s="14" customFormat="1" ht="15.75" outlineLevel="1" x14ac:dyDescent="0.2">
      <c r="A90" s="4"/>
      <c r="B90" s="658"/>
      <c r="C90" s="652"/>
      <c r="D90" s="64" t="s">
        <v>87</v>
      </c>
      <c r="E90" s="65" t="s">
        <v>133</v>
      </c>
      <c r="F90" s="224">
        <f>F86*(F87*F88*F89)</f>
        <v>0</v>
      </c>
      <c r="G90" s="224">
        <f t="shared" ref="G90:J90" si="19">G86*(G87*G88*G89)</f>
        <v>0</v>
      </c>
      <c r="H90" s="224">
        <f t="shared" si="19"/>
        <v>0</v>
      </c>
      <c r="I90" s="224">
        <f t="shared" si="19"/>
        <v>0</v>
      </c>
      <c r="J90" s="224">
        <f t="shared" si="19"/>
        <v>0</v>
      </c>
      <c r="K90" s="654"/>
      <c r="L90" s="57"/>
      <c r="M90" s="4"/>
      <c r="N90" s="212" t="str">
        <f t="shared" si="15"/>
        <v>Flare pit</v>
      </c>
      <c r="O90" s="213" t="str">
        <f t="shared" si="15"/>
        <v>-</v>
      </c>
      <c r="P90" s="213" t="str">
        <f t="shared" si="17"/>
        <v>Flare pit</v>
      </c>
      <c r="Q90" s="233">
        <v>1</v>
      </c>
      <c r="R90" s="215" t="str">
        <f t="shared" si="16"/>
        <v>m3</v>
      </c>
    </row>
    <row r="91" spans="1:18" s="14" customFormat="1" ht="28.5" outlineLevel="1" x14ac:dyDescent="0.2">
      <c r="A91" s="4"/>
      <c r="B91" s="496" t="s">
        <v>89</v>
      </c>
      <c r="C91" s="495" t="s">
        <v>70</v>
      </c>
      <c r="D91" s="64" t="s">
        <v>85</v>
      </c>
      <c r="E91" s="65" t="s">
        <v>82</v>
      </c>
      <c r="F91" s="222">
        <v>0</v>
      </c>
      <c r="G91" s="222">
        <v>0</v>
      </c>
      <c r="H91" s="222">
        <v>0</v>
      </c>
      <c r="I91" s="222">
        <v>0</v>
      </c>
      <c r="J91" s="222">
        <v>0</v>
      </c>
      <c r="K91" s="110" t="s">
        <v>171</v>
      </c>
      <c r="L91" s="57"/>
      <c r="M91" s="4"/>
      <c r="N91" s="212" t="str">
        <f t="shared" si="15"/>
        <v>Wastewater tank</v>
      </c>
      <c r="O91" s="213" t="str">
        <f t="shared" si="15"/>
        <v>-</v>
      </c>
      <c r="P91" s="213" t="str">
        <f t="shared" si="17"/>
        <v>Wastewater tank</v>
      </c>
      <c r="Q91" s="233">
        <v>1</v>
      </c>
      <c r="R91" s="215" t="str">
        <f t="shared" si="16"/>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si="15"/>
        <v>Wastewater treatment plant (camp)</v>
      </c>
      <c r="O92" s="213" t="str">
        <f t="shared" si="15"/>
        <v>-</v>
      </c>
      <c r="P92" s="213" t="str">
        <f t="shared" si="17"/>
        <v>Wastewater treatment plant (camp)</v>
      </c>
      <c r="Q92" s="233">
        <v>1</v>
      </c>
      <c r="R92" s="215" t="str">
        <f t="shared" si="16"/>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ref="N93:O108" si="20">IF(B93="",N92,B93)</f>
        <v>Turkey's nest</v>
      </c>
      <c r="O93" s="213" t="str">
        <f t="shared" si="20"/>
        <v>-</v>
      </c>
      <c r="P93" s="213" t="str">
        <f t="shared" si="17"/>
        <v/>
      </c>
      <c r="Q93" s="233"/>
      <c r="R93" s="215" t="str">
        <f t="shared" si="16"/>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20"/>
        <v>Turkey's nest</v>
      </c>
      <c r="O94" s="213" t="str">
        <f t="shared" si="20"/>
        <v>-</v>
      </c>
      <c r="P94" s="213" t="str">
        <f t="shared" si="17"/>
        <v/>
      </c>
      <c r="Q94" s="233"/>
      <c r="R94" s="215" t="str">
        <f t="shared" si="16"/>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20"/>
        <v>Turkey's nest</v>
      </c>
      <c r="O95" s="213" t="str">
        <f t="shared" si="20"/>
        <v>-</v>
      </c>
      <c r="P95" s="213" t="str">
        <f t="shared" si="17"/>
        <v/>
      </c>
      <c r="Q95" s="233"/>
      <c r="R95" s="215" t="str">
        <f t="shared" si="16"/>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20"/>
        <v>Turkey's nest</v>
      </c>
      <c r="O96" s="213" t="str">
        <f t="shared" si="20"/>
        <v>-</v>
      </c>
      <c r="P96" s="213" t="str">
        <f t="shared" si="17"/>
        <v/>
      </c>
      <c r="Q96" s="233"/>
      <c r="R96" s="215" t="str">
        <f t="shared" si="16"/>
        <v>m</v>
      </c>
    </row>
    <row r="97" spans="1:27" s="14" customFormat="1" ht="15.75" outlineLevel="1" x14ac:dyDescent="0.2">
      <c r="A97" s="4"/>
      <c r="B97" s="658"/>
      <c r="C97" s="652"/>
      <c r="D97" s="64" t="s">
        <v>87</v>
      </c>
      <c r="E97" s="65" t="s">
        <v>133</v>
      </c>
      <c r="F97" s="224">
        <f>F93*(F94*F95*F96)</f>
        <v>0</v>
      </c>
      <c r="G97" s="224">
        <f t="shared" ref="G97:J97" si="21">G93*(G94*G95*G96)</f>
        <v>0</v>
      </c>
      <c r="H97" s="224">
        <f t="shared" si="21"/>
        <v>0</v>
      </c>
      <c r="I97" s="224">
        <f t="shared" si="21"/>
        <v>0</v>
      </c>
      <c r="J97" s="224">
        <f t="shared" si="21"/>
        <v>0</v>
      </c>
      <c r="K97" s="654"/>
      <c r="L97" s="57"/>
      <c r="M97" s="4"/>
      <c r="N97" s="212" t="str">
        <f t="shared" si="20"/>
        <v>Turkey's nest</v>
      </c>
      <c r="O97" s="213" t="str">
        <f t="shared" si="20"/>
        <v>-</v>
      </c>
      <c r="P97" s="213" t="str">
        <f t="shared" si="17"/>
        <v>Turkey's nest</v>
      </c>
      <c r="Q97" s="233">
        <v>1</v>
      </c>
      <c r="R97" s="215" t="str">
        <f t="shared" si="16"/>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20"/>
        <v>Camp capacity</v>
      </c>
      <c r="O98" s="419" t="str">
        <f t="shared" si="20"/>
        <v>-</v>
      </c>
      <c r="P98" s="419" t="str">
        <f t="shared" si="17"/>
        <v/>
      </c>
      <c r="Q98" s="421"/>
      <c r="R98" s="215" t="str">
        <f t="shared" si="16"/>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20"/>
        <v>Camp capacity</v>
      </c>
      <c r="O99" s="419" t="str">
        <f t="shared" si="20"/>
        <v>-</v>
      </c>
      <c r="P99" s="419" t="str">
        <f t="shared" si="17"/>
        <v>Camp capacity</v>
      </c>
      <c r="Q99" s="421">
        <v>1</v>
      </c>
      <c r="R99" s="215" t="str">
        <f t="shared" si="16"/>
        <v>#</v>
      </c>
    </row>
    <row r="100" spans="1:27" s="14" customFormat="1" ht="28.5" outlineLevel="1" x14ac:dyDescent="0.2">
      <c r="A100" s="4"/>
      <c r="B100" s="496" t="s">
        <v>102</v>
      </c>
      <c r="C100" s="495" t="s">
        <v>264</v>
      </c>
      <c r="D100" s="64" t="s">
        <v>103</v>
      </c>
      <c r="E100" s="65" t="s">
        <v>79</v>
      </c>
      <c r="F100" s="222">
        <v>0</v>
      </c>
      <c r="G100" s="222">
        <v>0</v>
      </c>
      <c r="H100" s="222">
        <v>0</v>
      </c>
      <c r="I100" s="222">
        <v>0</v>
      </c>
      <c r="J100" s="222">
        <v>0</v>
      </c>
      <c r="K100" s="490" t="s">
        <v>174</v>
      </c>
      <c r="L100" s="57"/>
      <c r="M100" s="4"/>
      <c r="N100" s="212" t="str">
        <f>IF(B100="",N99,B100)</f>
        <v>Flowlines / pipelines</v>
      </c>
      <c r="O100" s="419" t="str">
        <f>IF(C100="",O99,C100)</f>
        <v>Above and below ground</v>
      </c>
      <c r="P100" s="419" t="str">
        <f t="shared" si="17"/>
        <v>Flowlines / pipelines - Above and below ground</v>
      </c>
      <c r="Q100" s="421">
        <v>1</v>
      </c>
      <c r="R100" s="215" t="str">
        <f t="shared" si="16"/>
        <v>m</v>
      </c>
    </row>
    <row r="101" spans="1:27" s="14" customFormat="1" ht="28.5" outlineLevel="1" x14ac:dyDescent="0.2">
      <c r="A101" s="4"/>
      <c r="B101" s="496" t="s">
        <v>104</v>
      </c>
      <c r="C101" s="495" t="s">
        <v>273</v>
      </c>
      <c r="D101" s="64" t="s">
        <v>85</v>
      </c>
      <c r="E101" s="65" t="s">
        <v>82</v>
      </c>
      <c r="F101" s="225">
        <f>F56</f>
        <v>0</v>
      </c>
      <c r="G101" s="225">
        <f>G56</f>
        <v>0</v>
      </c>
      <c r="H101" s="225">
        <f>H56</f>
        <v>0</v>
      </c>
      <c r="I101" s="225">
        <f>I56</f>
        <v>0</v>
      </c>
      <c r="J101" s="225">
        <f>J56</f>
        <v>0</v>
      </c>
      <c r="K101" s="490" t="s">
        <v>175</v>
      </c>
      <c r="L101" s="57"/>
      <c r="M101" s="4"/>
      <c r="N101" s="217" t="str">
        <f>IF(B101="",N100,B101)</f>
        <v xml:space="preserve">Contaminated soil testing </v>
      </c>
      <c r="O101" s="218" t="str">
        <f>IF(C101="",O100,C101)</f>
        <v>Per well pad</v>
      </c>
      <c r="P101" s="218" t="str">
        <f t="shared" si="17"/>
        <v>Contaminated soil testing  - Per well pad</v>
      </c>
      <c r="Q101" s="234">
        <v>1</v>
      </c>
      <c r="R101" s="220" t="str">
        <f t="shared" si="16"/>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3.2.4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20"/>
        <v>General waste</v>
      </c>
      <c r="O104" s="229" t="str">
        <f t="shared" si="20"/>
        <v>-</v>
      </c>
      <c r="P104" s="229" t="str">
        <f t="shared" si="17"/>
        <v>General waste</v>
      </c>
      <c r="Q104" s="232">
        <v>1</v>
      </c>
      <c r="R104" s="231" t="str">
        <f t="shared" ref="R104:R129" si="22">E104</f>
        <v>tonnes</v>
      </c>
    </row>
    <row r="105" spans="1:27" s="14" customFormat="1" ht="28.5" outlineLevel="1" x14ac:dyDescent="0.2">
      <c r="A105" s="4"/>
      <c r="B105" s="496" t="s">
        <v>109</v>
      </c>
      <c r="C105" s="196" t="s">
        <v>70</v>
      </c>
      <c r="D105" s="55" t="s">
        <v>176</v>
      </c>
      <c r="E105" s="198" t="s">
        <v>177</v>
      </c>
      <c r="F105" s="222">
        <v>0</v>
      </c>
      <c r="G105" s="222">
        <v>0</v>
      </c>
      <c r="H105" s="222">
        <v>0</v>
      </c>
      <c r="I105" s="222">
        <v>0</v>
      </c>
      <c r="J105" s="222">
        <v>0</v>
      </c>
      <c r="K105" s="110" t="s">
        <v>178</v>
      </c>
      <c r="L105" s="57"/>
      <c r="M105" s="4"/>
      <c r="N105" s="212" t="str">
        <f t="shared" si="20"/>
        <v>Listed waste</v>
      </c>
      <c r="O105" s="235" t="str">
        <f t="shared" si="20"/>
        <v>-</v>
      </c>
      <c r="P105" s="213" t="str">
        <f t="shared" si="17"/>
        <v>Listed waste</v>
      </c>
      <c r="Q105" s="233">
        <v>1</v>
      </c>
      <c r="R105" s="215" t="str">
        <f t="shared" si="22"/>
        <v>tonnes</v>
      </c>
    </row>
    <row r="106" spans="1:27" s="14" customFormat="1" outlineLevel="1" x14ac:dyDescent="0.2">
      <c r="A106" s="4"/>
      <c r="B106" s="496" t="s">
        <v>112</v>
      </c>
      <c r="C106" s="196" t="s">
        <v>70</v>
      </c>
      <c r="D106" s="194" t="s">
        <v>87</v>
      </c>
      <c r="E106" s="67" t="s">
        <v>177</v>
      </c>
      <c r="F106" s="222">
        <v>0</v>
      </c>
      <c r="G106" s="222">
        <v>0</v>
      </c>
      <c r="H106" s="222">
        <v>0</v>
      </c>
      <c r="I106" s="222">
        <v>0</v>
      </c>
      <c r="J106" s="222">
        <v>0</v>
      </c>
      <c r="K106" s="110" t="s">
        <v>113</v>
      </c>
      <c r="L106" s="57"/>
      <c r="M106" s="4"/>
      <c r="N106" s="212" t="str">
        <f t="shared" si="20"/>
        <v xml:space="preserve">Chemical waste </v>
      </c>
      <c r="O106" s="235" t="str">
        <f t="shared" si="20"/>
        <v>-</v>
      </c>
      <c r="P106" s="213" t="str">
        <f t="shared" si="17"/>
        <v xml:space="preserve">Chemical waste </v>
      </c>
      <c r="Q106" s="233">
        <v>1</v>
      </c>
      <c r="R106" s="215" t="str">
        <f t="shared" si="22"/>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20"/>
        <v>-</v>
      </c>
      <c r="P107" s="213" t="str">
        <f t="shared" si="17"/>
        <v/>
      </c>
      <c r="Q107" s="233"/>
      <c r="R107" s="215">
        <f t="shared" si="22"/>
        <v>0</v>
      </c>
    </row>
    <row r="108" spans="1:27" s="14" customFormat="1" ht="42.75" outlineLevel="1" x14ac:dyDescent="0.2">
      <c r="A108" s="4"/>
      <c r="B108" s="189" t="s">
        <v>180</v>
      </c>
      <c r="C108" s="495" t="s">
        <v>70</v>
      </c>
      <c r="D108" s="193" t="s">
        <v>87</v>
      </c>
      <c r="E108" s="198" t="s">
        <v>181</v>
      </c>
      <c r="F108" s="222">
        <v>0</v>
      </c>
      <c r="G108" s="222">
        <v>0</v>
      </c>
      <c r="H108" s="222">
        <v>0</v>
      </c>
      <c r="I108" s="222">
        <v>0</v>
      </c>
      <c r="J108" s="222">
        <v>0</v>
      </c>
      <c r="K108" s="110" t="s">
        <v>182</v>
      </c>
      <c r="L108" s="57"/>
      <c r="M108" s="4"/>
      <c r="N108" s="212" t="str">
        <f t="shared" si="20"/>
        <v>Total volume of hydraulic fracking fluid to be used</v>
      </c>
      <c r="O108" s="236" t="str">
        <f t="shared" si="20"/>
        <v>-</v>
      </c>
      <c r="P108" s="213" t="str">
        <f t="shared" si="17"/>
        <v/>
      </c>
      <c r="Q108" s="233"/>
      <c r="R108" s="215" t="str">
        <f t="shared" si="22"/>
        <v>ML</v>
      </c>
    </row>
    <row r="109" spans="1:27" s="14" customFormat="1" ht="99.75" outlineLevel="1" x14ac:dyDescent="0.2">
      <c r="A109" s="4"/>
      <c r="B109" s="189" t="s">
        <v>183</v>
      </c>
      <c r="C109" s="495" t="s">
        <v>70</v>
      </c>
      <c r="D109" s="194" t="s">
        <v>184</v>
      </c>
      <c r="E109" s="67" t="s">
        <v>185</v>
      </c>
      <c r="F109" s="190">
        <v>0</v>
      </c>
      <c r="G109" s="190">
        <v>0</v>
      </c>
      <c r="H109" s="190">
        <v>0</v>
      </c>
      <c r="I109" s="190">
        <v>0</v>
      </c>
      <c r="J109" s="190">
        <v>0</v>
      </c>
      <c r="K109" s="110" t="s">
        <v>186</v>
      </c>
      <c r="L109" s="57"/>
      <c r="M109" s="4"/>
      <c r="N109" s="212" t="str">
        <f t="shared" ref="N109:O124" si="23">IF(B109="",N108,B109)</f>
        <v>Percentage expected to return to the surface (flowback fluid)</v>
      </c>
      <c r="O109" s="236" t="str">
        <f t="shared" si="23"/>
        <v>-</v>
      </c>
      <c r="P109" s="213" t="str">
        <f t="shared" si="17"/>
        <v/>
      </c>
      <c r="Q109" s="233"/>
      <c r="R109" s="215" t="str">
        <f t="shared" si="22"/>
        <v>%</v>
      </c>
    </row>
    <row r="110" spans="1:27" s="14" customFormat="1" ht="57" outlineLevel="1" x14ac:dyDescent="0.2">
      <c r="A110" s="4"/>
      <c r="B110" s="189" t="s">
        <v>187</v>
      </c>
      <c r="C110" s="495" t="s">
        <v>70</v>
      </c>
      <c r="D110" s="194" t="s">
        <v>184</v>
      </c>
      <c r="E110" s="67" t="s">
        <v>185</v>
      </c>
      <c r="F110" s="190">
        <v>0</v>
      </c>
      <c r="G110" s="190">
        <v>0</v>
      </c>
      <c r="H110" s="190">
        <v>0</v>
      </c>
      <c r="I110" s="190">
        <v>0</v>
      </c>
      <c r="J110" s="190">
        <v>0</v>
      </c>
      <c r="K110" s="110" t="s">
        <v>188</v>
      </c>
      <c r="L110" s="57"/>
      <c r="M110" s="4"/>
      <c r="N110" s="212" t="str">
        <f t="shared" si="23"/>
        <v>Evaporation rate expected</v>
      </c>
      <c r="O110" s="236" t="str">
        <f t="shared" si="23"/>
        <v>-</v>
      </c>
      <c r="P110" s="213" t="str">
        <f t="shared" si="17"/>
        <v/>
      </c>
      <c r="Q110" s="233"/>
      <c r="R110" s="215" t="str">
        <f t="shared" si="22"/>
        <v>%</v>
      </c>
    </row>
    <row r="111" spans="1:27" s="14" customFormat="1" ht="42.75" outlineLevel="1" x14ac:dyDescent="0.2">
      <c r="A111" s="4"/>
      <c r="B111" s="189" t="s">
        <v>189</v>
      </c>
      <c r="C111" s="196" t="s">
        <v>70</v>
      </c>
      <c r="D111" s="194" t="s">
        <v>87</v>
      </c>
      <c r="E111" s="67" t="s">
        <v>181</v>
      </c>
      <c r="F111" s="459">
        <f t="shared" ref="F111:J111" si="24">(F108*F109)-((F108*F109)*F110)</f>
        <v>0</v>
      </c>
      <c r="G111" s="383">
        <f t="shared" si="24"/>
        <v>0</v>
      </c>
      <c r="H111" s="383">
        <f t="shared" si="24"/>
        <v>0</v>
      </c>
      <c r="I111" s="383">
        <f t="shared" si="24"/>
        <v>0</v>
      </c>
      <c r="J111" s="383">
        <f t="shared" si="24"/>
        <v>0</v>
      </c>
      <c r="K111" s="110" t="s">
        <v>190</v>
      </c>
      <c r="L111" s="57"/>
      <c r="M111" s="4"/>
      <c r="N111" s="212" t="str">
        <f t="shared" si="23"/>
        <v>Volume to be disposed</v>
      </c>
      <c r="O111" s="213" t="str">
        <f t="shared" si="23"/>
        <v>-</v>
      </c>
      <c r="P111" s="213" t="str">
        <f>N107</f>
        <v>Hydraulic Fracking Fluid</v>
      </c>
      <c r="Q111" s="233">
        <v>1</v>
      </c>
      <c r="R111" s="215" t="str">
        <f t="shared" si="22"/>
        <v>ML</v>
      </c>
    </row>
    <row r="112" spans="1:27" s="14" customFormat="1" ht="71.25" outlineLevel="1" x14ac:dyDescent="0.2">
      <c r="A112" s="4"/>
      <c r="B112" s="477" t="s">
        <v>302</v>
      </c>
      <c r="C112" s="495" t="s">
        <v>70</v>
      </c>
      <c r="D112" s="194" t="s">
        <v>191</v>
      </c>
      <c r="E112" s="495" t="s">
        <v>192</v>
      </c>
      <c r="F112" s="237">
        <v>0</v>
      </c>
      <c r="G112" s="237">
        <v>0</v>
      </c>
      <c r="H112" s="237">
        <v>0</v>
      </c>
      <c r="I112" s="237">
        <v>0</v>
      </c>
      <c r="J112" s="237">
        <v>0</v>
      </c>
      <c r="K112" s="110" t="s">
        <v>193</v>
      </c>
      <c r="L112" s="57"/>
      <c r="M112" s="4"/>
      <c r="N112" s="212" t="str">
        <f t="shared" si="23"/>
        <v>Expected TDS after evaporation</v>
      </c>
      <c r="O112" s="236" t="str">
        <f t="shared" si="23"/>
        <v>-</v>
      </c>
      <c r="P112" s="213" t="str">
        <f t="shared" si="17"/>
        <v/>
      </c>
      <c r="Q112" s="233"/>
      <c r="R112" s="417" t="str">
        <f t="shared" si="22"/>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23"/>
        <v>Produced water (formation water)</v>
      </c>
      <c r="O113" s="213" t="str">
        <f t="shared" si="23"/>
        <v>-</v>
      </c>
      <c r="P113" s="213" t="str">
        <f t="shared" si="17"/>
        <v/>
      </c>
      <c r="Q113" s="233"/>
      <c r="R113" s="215">
        <f t="shared" si="22"/>
        <v>0</v>
      </c>
    </row>
    <row r="114" spans="1:18" s="14" customFormat="1" ht="128.25" outlineLevel="1" x14ac:dyDescent="0.2">
      <c r="A114" s="4"/>
      <c r="B114" s="189" t="s">
        <v>195</v>
      </c>
      <c r="C114" s="495" t="s">
        <v>70</v>
      </c>
      <c r="D114" s="193" t="s">
        <v>87</v>
      </c>
      <c r="E114" s="198" t="s">
        <v>181</v>
      </c>
      <c r="F114" s="222">
        <v>0</v>
      </c>
      <c r="G114" s="222">
        <v>0</v>
      </c>
      <c r="H114" s="222">
        <v>0</v>
      </c>
      <c r="I114" s="222">
        <v>0</v>
      </c>
      <c r="J114" s="222">
        <v>0</v>
      </c>
      <c r="K114" s="110" t="s">
        <v>196</v>
      </c>
      <c r="L114" s="57"/>
      <c r="M114" s="4"/>
      <c r="N114" s="212" t="str">
        <f t="shared" si="23"/>
        <v>Expected volume of produced water</v>
      </c>
      <c r="O114" s="236" t="str">
        <f t="shared" si="23"/>
        <v>-</v>
      </c>
      <c r="P114" s="213" t="str">
        <f t="shared" si="17"/>
        <v/>
      </c>
      <c r="Q114" s="233"/>
      <c r="R114" s="215" t="str">
        <f t="shared" si="22"/>
        <v>ML</v>
      </c>
    </row>
    <row r="115" spans="1:18" s="14" customFormat="1" ht="57" outlineLevel="1" x14ac:dyDescent="0.2">
      <c r="A115" s="4"/>
      <c r="B115" s="189" t="s">
        <v>187</v>
      </c>
      <c r="C115" s="495" t="s">
        <v>70</v>
      </c>
      <c r="D115" s="194" t="s">
        <v>184</v>
      </c>
      <c r="E115" s="67" t="s">
        <v>185</v>
      </c>
      <c r="F115" s="190">
        <v>0</v>
      </c>
      <c r="G115" s="190">
        <v>0</v>
      </c>
      <c r="H115" s="190">
        <v>0</v>
      </c>
      <c r="I115" s="190">
        <v>0</v>
      </c>
      <c r="J115" s="190">
        <v>0</v>
      </c>
      <c r="K115" s="110" t="s">
        <v>188</v>
      </c>
      <c r="L115" s="57"/>
      <c r="M115" s="4"/>
      <c r="N115" s="212" t="str">
        <f t="shared" si="23"/>
        <v>Evaporation rate expected</v>
      </c>
      <c r="O115" s="236" t="str">
        <f t="shared" si="23"/>
        <v>-</v>
      </c>
      <c r="P115" s="213" t="str">
        <f t="shared" si="17"/>
        <v/>
      </c>
      <c r="Q115" s="233"/>
      <c r="R115" s="215" t="str">
        <f t="shared" si="22"/>
        <v>%</v>
      </c>
    </row>
    <row r="116" spans="1:18" s="14" customFormat="1" ht="42.75" outlineLevel="1" x14ac:dyDescent="0.2">
      <c r="A116" s="4"/>
      <c r="B116" s="189" t="s">
        <v>189</v>
      </c>
      <c r="C116" s="196" t="s">
        <v>70</v>
      </c>
      <c r="D116" s="55" t="s">
        <v>87</v>
      </c>
      <c r="E116" s="198" t="s">
        <v>181</v>
      </c>
      <c r="F116" s="383">
        <f t="shared" ref="F116:J116" si="25">F114-(F114*F115)</f>
        <v>0</v>
      </c>
      <c r="G116" s="383">
        <f t="shared" si="25"/>
        <v>0</v>
      </c>
      <c r="H116" s="383">
        <f t="shared" si="25"/>
        <v>0</v>
      </c>
      <c r="I116" s="383">
        <f t="shared" si="25"/>
        <v>0</v>
      </c>
      <c r="J116" s="383">
        <f t="shared" si="25"/>
        <v>0</v>
      </c>
      <c r="K116" s="110" t="s">
        <v>190</v>
      </c>
      <c r="L116" s="57"/>
      <c r="M116" s="4"/>
      <c r="N116" s="216" t="str">
        <f t="shared" si="23"/>
        <v>Volume to be disposed</v>
      </c>
      <c r="O116" s="236" t="str">
        <f t="shared" si="23"/>
        <v>-</v>
      </c>
      <c r="P116" s="213" t="str">
        <f>N113</f>
        <v>Produced water (formation water)</v>
      </c>
      <c r="Q116" s="233">
        <v>1</v>
      </c>
      <c r="R116" s="215" t="str">
        <f t="shared" si="22"/>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23"/>
        <v>Expected TDS after evaporation</v>
      </c>
      <c r="O117" s="236" t="str">
        <f t="shared" si="23"/>
        <v>-</v>
      </c>
      <c r="P117" s="213" t="str">
        <f t="shared" si="17"/>
        <v/>
      </c>
      <c r="Q117" s="416"/>
      <c r="R117" s="417" t="str">
        <f t="shared" si="22"/>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23"/>
        <v>Other Wastewater</v>
      </c>
      <c r="O118" s="213" t="str">
        <f t="shared" si="23"/>
        <v>-</v>
      </c>
      <c r="P118" s="213" t="str">
        <f t="shared" si="17"/>
        <v/>
      </c>
      <c r="Q118" s="233"/>
      <c r="R118" s="215">
        <f t="shared" si="22"/>
        <v>0</v>
      </c>
    </row>
    <row r="119" spans="1:18" s="14" customFormat="1" ht="42.75" outlineLevel="1" x14ac:dyDescent="0.2">
      <c r="A119" s="4"/>
      <c r="B119" s="189" t="s">
        <v>198</v>
      </c>
      <c r="C119" s="495" t="s">
        <v>70</v>
      </c>
      <c r="D119" s="193" t="s">
        <v>87</v>
      </c>
      <c r="E119" s="198" t="s">
        <v>181</v>
      </c>
      <c r="F119" s="222">
        <v>0</v>
      </c>
      <c r="G119" s="222">
        <v>0</v>
      </c>
      <c r="H119" s="222">
        <v>0</v>
      </c>
      <c r="I119" s="222">
        <v>0</v>
      </c>
      <c r="J119" s="222">
        <v>0</v>
      </c>
      <c r="K119" s="110" t="s">
        <v>199</v>
      </c>
      <c r="L119" s="57"/>
      <c r="M119" s="4"/>
      <c r="N119" s="212" t="str">
        <f t="shared" si="23"/>
        <v>Expected volume of other wastewater</v>
      </c>
      <c r="O119" s="235" t="str">
        <f t="shared" si="23"/>
        <v>-</v>
      </c>
      <c r="P119" s="213" t="str">
        <f t="shared" si="17"/>
        <v/>
      </c>
      <c r="Q119" s="233"/>
      <c r="R119" s="215" t="str">
        <f t="shared" si="22"/>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23"/>
        <v>Evaporation rate expected</v>
      </c>
      <c r="O120" s="235" t="str">
        <f t="shared" si="23"/>
        <v>-</v>
      </c>
      <c r="P120" s="213" t="str">
        <f t="shared" si="17"/>
        <v/>
      </c>
      <c r="Q120" s="233"/>
      <c r="R120" s="215" t="str">
        <f t="shared" si="22"/>
        <v>%</v>
      </c>
    </row>
    <row r="121" spans="1:18" s="14" customFormat="1" ht="44.65" customHeight="1" outlineLevel="1" x14ac:dyDescent="0.2">
      <c r="A121" s="4"/>
      <c r="B121" s="189" t="s">
        <v>189</v>
      </c>
      <c r="C121" s="495" t="s">
        <v>70</v>
      </c>
      <c r="D121" s="193" t="s">
        <v>87</v>
      </c>
      <c r="E121" s="198" t="s">
        <v>181</v>
      </c>
      <c r="F121" s="383">
        <f t="shared" ref="F121:J121" si="26">F119-(F119*F120)</f>
        <v>0</v>
      </c>
      <c r="G121" s="383">
        <f t="shared" si="26"/>
        <v>0</v>
      </c>
      <c r="H121" s="383">
        <f t="shared" si="26"/>
        <v>0</v>
      </c>
      <c r="I121" s="383">
        <f t="shared" si="26"/>
        <v>0</v>
      </c>
      <c r="J121" s="383">
        <f t="shared" si="26"/>
        <v>0</v>
      </c>
      <c r="K121" s="110" t="s">
        <v>190</v>
      </c>
      <c r="L121" s="57"/>
      <c r="M121" s="4"/>
      <c r="N121" s="212" t="str">
        <f t="shared" si="23"/>
        <v>Volume to be disposed</v>
      </c>
      <c r="O121" s="235" t="str">
        <f t="shared" si="23"/>
        <v>-</v>
      </c>
      <c r="P121" s="213" t="str">
        <f>N118</f>
        <v>Other Wastewater</v>
      </c>
      <c r="Q121" s="233">
        <v>1</v>
      </c>
      <c r="R121" s="215" t="str">
        <f t="shared" si="22"/>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23"/>
        <v>Expected TDS after evaporation</v>
      </c>
      <c r="O122" s="235" t="str">
        <f t="shared" si="23"/>
        <v>-</v>
      </c>
      <c r="P122" s="213" t="str">
        <f t="shared" si="17"/>
        <v/>
      </c>
      <c r="Q122" s="233"/>
      <c r="R122" s="417" t="str">
        <f t="shared" si="22"/>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23"/>
        <v>Drilling Muds and Cuttings</v>
      </c>
      <c r="O123" s="236" t="str">
        <f t="shared" si="23"/>
        <v>-</v>
      </c>
      <c r="P123" s="213" t="str">
        <f t="shared" si="17"/>
        <v/>
      </c>
      <c r="Q123" s="233"/>
      <c r="R123" s="215"/>
    </row>
    <row r="124" spans="1:18" s="14" customFormat="1" ht="71.650000000000006" customHeight="1" outlineLevel="1" x14ac:dyDescent="0.2">
      <c r="A124" s="4"/>
      <c r="B124" s="189" t="s">
        <v>304</v>
      </c>
      <c r="C124" s="495" t="s">
        <v>70</v>
      </c>
      <c r="D124" s="194" t="s">
        <v>87</v>
      </c>
      <c r="E124" s="67" t="s">
        <v>133</v>
      </c>
      <c r="F124" s="222">
        <v>0</v>
      </c>
      <c r="G124" s="222">
        <v>0</v>
      </c>
      <c r="H124" s="222">
        <v>0</v>
      </c>
      <c r="I124" s="222">
        <v>0</v>
      </c>
      <c r="J124" s="222">
        <v>0</v>
      </c>
      <c r="K124" s="491" t="s">
        <v>317</v>
      </c>
      <c r="L124" s="57"/>
      <c r="M124" s="4"/>
      <c r="N124" s="212" t="str">
        <f t="shared" si="23"/>
        <v>Expected volume of drilling muds and cuttings</v>
      </c>
      <c r="O124" s="236" t="str">
        <f t="shared" si="23"/>
        <v>-</v>
      </c>
      <c r="P124" s="213" t="str">
        <f t="shared" si="17"/>
        <v/>
      </c>
      <c r="Q124" s="233"/>
      <c r="R124" s="215"/>
    </row>
    <row r="125" spans="1:18" s="14" customFormat="1" ht="37.5" customHeight="1" outlineLevel="1" x14ac:dyDescent="0.2">
      <c r="A125" s="4"/>
      <c r="B125" s="189" t="s">
        <v>187</v>
      </c>
      <c r="C125" s="495" t="s">
        <v>70</v>
      </c>
      <c r="D125" s="194" t="s">
        <v>184</v>
      </c>
      <c r="E125" s="198" t="s">
        <v>185</v>
      </c>
      <c r="F125" s="190">
        <v>0</v>
      </c>
      <c r="G125" s="190">
        <v>0</v>
      </c>
      <c r="H125" s="190">
        <v>0</v>
      </c>
      <c r="I125" s="190">
        <v>0</v>
      </c>
      <c r="J125" s="190">
        <v>0</v>
      </c>
      <c r="K125" s="110" t="s">
        <v>202</v>
      </c>
      <c r="L125" s="57"/>
      <c r="M125" s="4"/>
      <c r="N125" s="212" t="str">
        <f t="shared" ref="N125:O129" si="27">IF(B125="",N124,B125)</f>
        <v>Evaporation rate expected</v>
      </c>
      <c r="O125" s="236" t="str">
        <f t="shared" si="27"/>
        <v>-</v>
      </c>
      <c r="P125" s="213" t="str">
        <f t="shared" si="17"/>
        <v/>
      </c>
      <c r="Q125" s="233"/>
      <c r="R125" s="215"/>
    </row>
    <row r="126" spans="1:18" s="14" customFormat="1" ht="40.15" customHeight="1" outlineLevel="1" x14ac:dyDescent="0.2">
      <c r="A126" s="4"/>
      <c r="B126" s="477" t="s">
        <v>189</v>
      </c>
      <c r="C126" s="495" t="s">
        <v>70</v>
      </c>
      <c r="D126" s="194" t="s">
        <v>87</v>
      </c>
      <c r="E126" s="198" t="s">
        <v>169</v>
      </c>
      <c r="F126" s="383">
        <f>F124-(F124*F125)</f>
        <v>0</v>
      </c>
      <c r="G126" s="383">
        <f t="shared" ref="G126:J126" si="28">G124-(G124*G125)</f>
        <v>0</v>
      </c>
      <c r="H126" s="383">
        <f t="shared" si="28"/>
        <v>0</v>
      </c>
      <c r="I126" s="383">
        <f t="shared" si="28"/>
        <v>0</v>
      </c>
      <c r="J126" s="383">
        <f t="shared" si="28"/>
        <v>0</v>
      </c>
      <c r="K126" s="110" t="s">
        <v>190</v>
      </c>
      <c r="L126" s="57"/>
      <c r="M126" s="4"/>
      <c r="N126" s="212" t="str">
        <f t="shared" si="27"/>
        <v>Volume to be disposed</v>
      </c>
      <c r="O126" s="236" t="str">
        <f t="shared" si="27"/>
        <v>-</v>
      </c>
      <c r="P126" s="213" t="str">
        <f>N123</f>
        <v>Drilling Muds and Cuttings</v>
      </c>
      <c r="Q126" s="233">
        <v>1</v>
      </c>
      <c r="R126" s="215"/>
    </row>
    <row r="127" spans="1:18" s="14" customFormat="1" ht="71.25" outlineLevel="1" x14ac:dyDescent="0.2">
      <c r="A127" s="4"/>
      <c r="B127" s="477" t="s">
        <v>302</v>
      </c>
      <c r="C127" s="495" t="s">
        <v>70</v>
      </c>
      <c r="D127" s="194" t="s">
        <v>191</v>
      </c>
      <c r="E127" s="199" t="s">
        <v>192</v>
      </c>
      <c r="F127" s="237">
        <v>0</v>
      </c>
      <c r="G127" s="237">
        <v>0</v>
      </c>
      <c r="H127" s="237">
        <v>0</v>
      </c>
      <c r="I127" s="237">
        <v>0</v>
      </c>
      <c r="J127" s="237">
        <v>0</v>
      </c>
      <c r="K127" s="110" t="s">
        <v>203</v>
      </c>
      <c r="L127" s="57"/>
      <c r="M127" s="4"/>
      <c r="N127" s="212" t="str">
        <f t="shared" si="27"/>
        <v>Expected TDS after evaporation</v>
      </c>
      <c r="O127" s="236" t="str">
        <f t="shared" si="27"/>
        <v>-</v>
      </c>
      <c r="P127" s="213" t="str">
        <f t="shared" si="17"/>
        <v/>
      </c>
      <c r="Q127" s="233"/>
      <c r="R127" s="215"/>
    </row>
    <row r="128" spans="1:18" s="14" customFormat="1" ht="28.5" outlineLevel="1" x14ac:dyDescent="0.2">
      <c r="A128" s="4"/>
      <c r="B128" s="71" t="s">
        <v>130</v>
      </c>
      <c r="C128" s="495" t="s">
        <v>70</v>
      </c>
      <c r="D128" s="194" t="s">
        <v>82</v>
      </c>
      <c r="E128" s="198" t="s">
        <v>222</v>
      </c>
      <c r="F128" s="222">
        <v>0</v>
      </c>
      <c r="G128" s="222">
        <v>0</v>
      </c>
      <c r="H128" s="222">
        <v>0</v>
      </c>
      <c r="I128" s="222">
        <v>0</v>
      </c>
      <c r="J128" s="222">
        <v>0</v>
      </c>
      <c r="K128" s="110" t="s">
        <v>204</v>
      </c>
      <c r="L128" s="57"/>
      <c r="M128" s="4"/>
      <c r="N128" s="212" t="str">
        <f t="shared" si="27"/>
        <v>Liners</v>
      </c>
      <c r="O128" s="236" t="str">
        <f>IF(C128="",O123,C128)</f>
        <v>-</v>
      </c>
      <c r="P128" s="213" t="str">
        <f t="shared" si="17"/>
        <v>Liners</v>
      </c>
      <c r="Q128" s="233">
        <v>1</v>
      </c>
      <c r="R128" s="215" t="str">
        <f t="shared" si="22"/>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27"/>
        <v>Well pad materials</v>
      </c>
      <c r="O129" s="418" t="str">
        <f t="shared" si="27"/>
        <v>-</v>
      </c>
      <c r="P129" s="218" t="str">
        <f t="shared" si="17"/>
        <v>Well pad materials</v>
      </c>
      <c r="Q129" s="234">
        <v>1</v>
      </c>
      <c r="R129" s="220" t="str">
        <f t="shared" si="22"/>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3.3 Summary of units used to calculate the security value by disturbance category</v>
      </c>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8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85"/>
      <c r="L133" s="4"/>
      <c r="M133" s="4"/>
    </row>
    <row r="134" spans="1:20" s="14" customFormat="1" x14ac:dyDescent="0.2">
      <c r="A134" s="4"/>
      <c r="B134" s="621" t="str">
        <f>B29</f>
        <v>Flowline right of ways - By track</v>
      </c>
      <c r="C134" s="622"/>
      <c r="D134" s="622"/>
      <c r="E134" s="44" t="s">
        <v>136</v>
      </c>
      <c r="F134" s="239">
        <f t="shared" ref="F134:J169" si="29">SUMIF($P$26:$P$129,$B134,F$26:F$129)</f>
        <v>0</v>
      </c>
      <c r="G134" s="239">
        <f t="shared" si="29"/>
        <v>0</v>
      </c>
      <c r="H134" s="239">
        <f t="shared" si="29"/>
        <v>0</v>
      </c>
      <c r="I134" s="239">
        <f t="shared" si="29"/>
        <v>0</v>
      </c>
      <c r="J134" s="240">
        <f t="shared" si="29"/>
        <v>0</v>
      </c>
      <c r="K134" s="485"/>
      <c r="L134" s="4"/>
      <c r="M134" s="4"/>
    </row>
    <row r="135" spans="1:20" s="14" customFormat="1" x14ac:dyDescent="0.2">
      <c r="A135" s="4"/>
      <c r="B135" s="621" t="str">
        <f>B30</f>
        <v>Flowline right of ways - Not by track</v>
      </c>
      <c r="C135" s="622"/>
      <c r="D135" s="622"/>
      <c r="E135" s="44" t="s">
        <v>136</v>
      </c>
      <c r="F135" s="239">
        <f t="shared" si="29"/>
        <v>0</v>
      </c>
      <c r="G135" s="239">
        <f t="shared" si="29"/>
        <v>0</v>
      </c>
      <c r="H135" s="239">
        <f t="shared" si="29"/>
        <v>0</v>
      </c>
      <c r="I135" s="239">
        <f t="shared" si="29"/>
        <v>0</v>
      </c>
      <c r="J135" s="240">
        <f t="shared" si="29"/>
        <v>0</v>
      </c>
      <c r="K135" s="485"/>
      <c r="L135" s="4"/>
      <c r="M135" s="4"/>
    </row>
    <row r="136" spans="1:20" s="14" customFormat="1" x14ac:dyDescent="0.2">
      <c r="A136" s="4"/>
      <c r="B136" s="621" t="str">
        <f>B31</f>
        <v>Access track (existing)</v>
      </c>
      <c r="C136" s="622"/>
      <c r="D136" s="622"/>
      <c r="E136" s="44" t="s">
        <v>64</v>
      </c>
      <c r="F136" s="239">
        <f t="shared" si="29"/>
        <v>0</v>
      </c>
      <c r="G136" s="239">
        <f t="shared" si="29"/>
        <v>0</v>
      </c>
      <c r="H136" s="239">
        <f t="shared" si="29"/>
        <v>0</v>
      </c>
      <c r="I136" s="239">
        <f t="shared" si="29"/>
        <v>0</v>
      </c>
      <c r="J136" s="240">
        <f t="shared" si="29"/>
        <v>0</v>
      </c>
      <c r="K136" s="48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29"/>
        <v>0</v>
      </c>
      <c r="G137" s="239">
        <f t="shared" si="29"/>
        <v>0</v>
      </c>
      <c r="H137" s="239">
        <f t="shared" si="29"/>
        <v>0</v>
      </c>
      <c r="I137" s="239">
        <f t="shared" si="29"/>
        <v>0</v>
      </c>
      <c r="J137" s="240">
        <f t="shared" si="29"/>
        <v>0</v>
      </c>
      <c r="K137" s="48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29"/>
        <v>0</v>
      </c>
      <c r="G138" s="239">
        <f t="shared" si="29"/>
        <v>0</v>
      </c>
      <c r="H138" s="239">
        <f t="shared" si="29"/>
        <v>0</v>
      </c>
      <c r="I138" s="239">
        <f t="shared" si="29"/>
        <v>0</v>
      </c>
      <c r="J138" s="240">
        <f t="shared" si="29"/>
        <v>0</v>
      </c>
      <c r="K138" s="48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29"/>
        <v>0</v>
      </c>
      <c r="G139" s="239">
        <f t="shared" si="29"/>
        <v>0</v>
      </c>
      <c r="H139" s="239">
        <f t="shared" si="29"/>
        <v>0</v>
      </c>
      <c r="I139" s="239">
        <f t="shared" si="29"/>
        <v>0</v>
      </c>
      <c r="J139" s="240">
        <f t="shared" si="29"/>
        <v>0</v>
      </c>
      <c r="K139" s="48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29"/>
        <v>0</v>
      </c>
      <c r="G140" s="239">
        <f t="shared" si="29"/>
        <v>0</v>
      </c>
      <c r="H140" s="239">
        <f t="shared" si="29"/>
        <v>0</v>
      </c>
      <c r="I140" s="239">
        <f t="shared" si="29"/>
        <v>0</v>
      </c>
      <c r="J140" s="240">
        <f t="shared" si="29"/>
        <v>0</v>
      </c>
      <c r="K140" s="48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29"/>
        <v>0</v>
      </c>
      <c r="G141" s="239">
        <f t="shared" si="29"/>
        <v>0</v>
      </c>
      <c r="H141" s="239">
        <f t="shared" si="29"/>
        <v>0</v>
      </c>
      <c r="I141" s="239">
        <f t="shared" si="29"/>
        <v>0</v>
      </c>
      <c r="J141" s="240">
        <f t="shared" si="29"/>
        <v>0</v>
      </c>
      <c r="K141" s="48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29"/>
        <v>0</v>
      </c>
      <c r="G142" s="239">
        <f t="shared" si="29"/>
        <v>0</v>
      </c>
      <c r="H142" s="239">
        <f t="shared" si="29"/>
        <v>0</v>
      </c>
      <c r="I142" s="239">
        <f t="shared" si="29"/>
        <v>0</v>
      </c>
      <c r="J142" s="240">
        <f t="shared" si="29"/>
        <v>0</v>
      </c>
      <c r="K142" s="485"/>
      <c r="L142" s="4"/>
      <c r="M142" s="4"/>
      <c r="N142" s="155"/>
      <c r="O142" s="155"/>
      <c r="P142" s="155"/>
      <c r="Q142" s="155"/>
    </row>
    <row r="143" spans="1:20" s="14" customFormat="1" x14ac:dyDescent="0.2">
      <c r="A143" s="4"/>
      <c r="B143" s="621" t="str">
        <f>B52</f>
        <v>Gravel pits</v>
      </c>
      <c r="C143" s="622"/>
      <c r="D143" s="622"/>
      <c r="E143" s="44" t="s">
        <v>64</v>
      </c>
      <c r="F143" s="239">
        <f t="shared" si="29"/>
        <v>0</v>
      </c>
      <c r="G143" s="239">
        <f t="shared" si="29"/>
        <v>0</v>
      </c>
      <c r="H143" s="239">
        <f t="shared" si="29"/>
        <v>0</v>
      </c>
      <c r="I143" s="239">
        <f t="shared" si="29"/>
        <v>0</v>
      </c>
      <c r="J143" s="240">
        <f t="shared" si="29"/>
        <v>0</v>
      </c>
      <c r="K143" s="485"/>
      <c r="L143" s="4"/>
      <c r="M143" s="4"/>
      <c r="N143" s="155"/>
      <c r="O143" s="155"/>
      <c r="P143" s="155"/>
      <c r="Q143" s="155"/>
    </row>
    <row r="144" spans="1:20" s="14" customFormat="1" x14ac:dyDescent="0.2">
      <c r="A144" s="4"/>
      <c r="B144" s="621" t="str">
        <f>B56</f>
        <v>Well pad</v>
      </c>
      <c r="C144" s="622"/>
      <c r="D144" s="622"/>
      <c r="E144" s="44" t="s">
        <v>64</v>
      </c>
      <c r="F144" s="239">
        <f t="shared" si="29"/>
        <v>0</v>
      </c>
      <c r="G144" s="239">
        <f t="shared" si="29"/>
        <v>0</v>
      </c>
      <c r="H144" s="239">
        <f t="shared" si="29"/>
        <v>0</v>
      </c>
      <c r="I144" s="239">
        <f t="shared" si="29"/>
        <v>0</v>
      </c>
      <c r="J144" s="240">
        <f t="shared" si="29"/>
        <v>0</v>
      </c>
      <c r="K144" s="48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29"/>
        <v>0</v>
      </c>
      <c r="G145" s="239">
        <f t="shared" si="29"/>
        <v>0</v>
      </c>
      <c r="H145" s="239">
        <f t="shared" si="29"/>
        <v>0</v>
      </c>
      <c r="I145" s="239">
        <f t="shared" si="29"/>
        <v>0</v>
      </c>
      <c r="J145" s="240">
        <f t="shared" si="29"/>
        <v>0</v>
      </c>
      <c r="K145" s="485"/>
      <c r="L145" s="4"/>
      <c r="M145" s="4"/>
      <c r="N145" s="155"/>
      <c r="O145" s="155"/>
      <c r="P145" s="155"/>
      <c r="Q145" s="155"/>
    </row>
    <row r="146" spans="1:17" s="14" customFormat="1" x14ac:dyDescent="0.2">
      <c r="A146" s="4"/>
      <c r="B146" s="623" t="str">
        <f>CONCATENATE(B63," - ",C63)</f>
        <v>Camp - No seeding</v>
      </c>
      <c r="C146" s="624"/>
      <c r="D146" s="625"/>
      <c r="E146" s="44" t="s">
        <v>64</v>
      </c>
      <c r="F146" s="239">
        <f t="shared" si="29"/>
        <v>0</v>
      </c>
      <c r="G146" s="239">
        <f t="shared" si="29"/>
        <v>0</v>
      </c>
      <c r="H146" s="239">
        <f t="shared" si="29"/>
        <v>0</v>
      </c>
      <c r="I146" s="239">
        <f t="shared" si="29"/>
        <v>0</v>
      </c>
      <c r="J146" s="240">
        <f t="shared" si="29"/>
        <v>0</v>
      </c>
      <c r="K146" s="48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29"/>
        <v>0</v>
      </c>
      <c r="G147" s="239">
        <f t="shared" si="29"/>
        <v>0</v>
      </c>
      <c r="H147" s="239">
        <f t="shared" si="29"/>
        <v>0</v>
      </c>
      <c r="I147" s="239">
        <f t="shared" si="29"/>
        <v>0</v>
      </c>
      <c r="J147" s="240">
        <f t="shared" si="29"/>
        <v>0</v>
      </c>
      <c r="K147" s="48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29"/>
        <v>0</v>
      </c>
      <c r="G148" s="239">
        <f t="shared" si="29"/>
        <v>0</v>
      </c>
      <c r="H148" s="239">
        <f t="shared" si="29"/>
        <v>0</v>
      </c>
      <c r="I148" s="239">
        <f t="shared" si="29"/>
        <v>0</v>
      </c>
      <c r="J148" s="240">
        <f t="shared" si="29"/>
        <v>0</v>
      </c>
      <c r="K148" s="485"/>
      <c r="L148" s="4"/>
      <c r="M148" s="4"/>
      <c r="N148" s="155"/>
      <c r="O148" s="155"/>
      <c r="P148" s="155"/>
      <c r="Q148" s="155"/>
    </row>
    <row r="149" spans="1:17" s="14" customFormat="1" x14ac:dyDescent="0.2">
      <c r="A149" s="4"/>
      <c r="B149" s="623" t="str">
        <f>B77</f>
        <v>Fencing</v>
      </c>
      <c r="C149" s="624"/>
      <c r="D149" s="625"/>
      <c r="E149" s="44" t="s">
        <v>79</v>
      </c>
      <c r="F149" s="239">
        <f t="shared" si="29"/>
        <v>0</v>
      </c>
      <c r="G149" s="239">
        <f t="shared" si="29"/>
        <v>0</v>
      </c>
      <c r="H149" s="239">
        <f t="shared" si="29"/>
        <v>0</v>
      </c>
      <c r="I149" s="239">
        <f t="shared" si="29"/>
        <v>0</v>
      </c>
      <c r="J149" s="240">
        <f t="shared" si="29"/>
        <v>0</v>
      </c>
      <c r="K149" s="485"/>
      <c r="L149" s="4"/>
      <c r="M149" s="4"/>
      <c r="N149" s="155"/>
      <c r="O149" s="155"/>
      <c r="P149" s="155"/>
      <c r="Q149" s="155"/>
    </row>
    <row r="150" spans="1:17" s="14" customFormat="1" x14ac:dyDescent="0.2">
      <c r="A150" s="4"/>
      <c r="B150" s="638" t="str">
        <f>B78</f>
        <v>Groundwater bore &lt; 70m TVD</v>
      </c>
      <c r="C150" s="639"/>
      <c r="D150" s="640"/>
      <c r="E150" s="44" t="s">
        <v>82</v>
      </c>
      <c r="F150" s="239">
        <f t="shared" si="29"/>
        <v>0</v>
      </c>
      <c r="G150" s="239">
        <f t="shared" si="29"/>
        <v>0</v>
      </c>
      <c r="H150" s="239">
        <f t="shared" si="29"/>
        <v>0</v>
      </c>
      <c r="I150" s="239">
        <f t="shared" si="29"/>
        <v>0</v>
      </c>
      <c r="J150" s="240">
        <f t="shared" si="29"/>
        <v>0</v>
      </c>
      <c r="K150" s="485"/>
      <c r="L150" s="4"/>
      <c r="M150" s="4"/>
      <c r="N150" s="155"/>
      <c r="O150" s="155"/>
      <c r="P150" s="155"/>
      <c r="Q150" s="155"/>
    </row>
    <row r="151" spans="1:17" s="14" customFormat="1" x14ac:dyDescent="0.2">
      <c r="A151" s="4"/>
      <c r="B151" s="623" t="str">
        <f>B79</f>
        <v>Groundwater bore ≥ 70m TVD</v>
      </c>
      <c r="C151" s="624"/>
      <c r="D151" s="625"/>
      <c r="E151" s="44" t="s">
        <v>82</v>
      </c>
      <c r="F151" s="239">
        <f t="shared" si="29"/>
        <v>0</v>
      </c>
      <c r="G151" s="239">
        <f t="shared" si="29"/>
        <v>0</v>
      </c>
      <c r="H151" s="239">
        <f t="shared" si="29"/>
        <v>0</v>
      </c>
      <c r="I151" s="239">
        <f t="shared" si="29"/>
        <v>0</v>
      </c>
      <c r="J151" s="240">
        <f t="shared" si="29"/>
        <v>0</v>
      </c>
      <c r="K151" s="485"/>
      <c r="L151" s="4"/>
      <c r="M151" s="4"/>
      <c r="N151" s="155"/>
      <c r="O151" s="155"/>
      <c r="P151" s="155"/>
      <c r="Q151" s="155"/>
    </row>
    <row r="152" spans="1:17" s="14" customFormat="1" x14ac:dyDescent="0.2">
      <c r="A152" s="4"/>
      <c r="B152" s="621" t="str">
        <f>B80</f>
        <v>Drill sump liners</v>
      </c>
      <c r="C152" s="622"/>
      <c r="D152" s="622"/>
      <c r="E152" s="44" t="s">
        <v>82</v>
      </c>
      <c r="F152" s="239">
        <f t="shared" si="29"/>
        <v>0</v>
      </c>
      <c r="G152" s="239">
        <f t="shared" si="29"/>
        <v>0</v>
      </c>
      <c r="H152" s="239">
        <f t="shared" si="29"/>
        <v>0</v>
      </c>
      <c r="I152" s="239">
        <f t="shared" si="29"/>
        <v>0</v>
      </c>
      <c r="J152" s="240">
        <f t="shared" si="29"/>
        <v>0</v>
      </c>
      <c r="K152" s="485"/>
      <c r="L152" s="4"/>
      <c r="M152" s="4"/>
      <c r="N152" s="155"/>
      <c r="O152" s="155"/>
      <c r="P152" s="155"/>
      <c r="Q152" s="155"/>
    </row>
    <row r="153" spans="1:17" s="14" customFormat="1" ht="15.75" x14ac:dyDescent="0.2">
      <c r="A153" s="4"/>
      <c r="B153" s="623" t="str">
        <f>B81</f>
        <v>Drill sump</v>
      </c>
      <c r="C153" s="624"/>
      <c r="D153" s="624"/>
      <c r="E153" s="44" t="s">
        <v>133</v>
      </c>
      <c r="F153" s="239">
        <f t="shared" si="29"/>
        <v>0</v>
      </c>
      <c r="G153" s="239">
        <f t="shared" si="29"/>
        <v>0</v>
      </c>
      <c r="H153" s="239">
        <f t="shared" si="29"/>
        <v>0</v>
      </c>
      <c r="I153" s="239">
        <f t="shared" si="29"/>
        <v>0</v>
      </c>
      <c r="J153" s="240">
        <f t="shared" si="29"/>
        <v>0</v>
      </c>
      <c r="K153" s="485"/>
      <c r="L153" s="4"/>
      <c r="M153" s="4"/>
      <c r="N153" s="155"/>
      <c r="O153" s="155"/>
      <c r="P153" s="155"/>
      <c r="Q153" s="155"/>
    </row>
    <row r="154" spans="1:17" s="14" customFormat="1" ht="15.75" x14ac:dyDescent="0.2">
      <c r="A154" s="4"/>
      <c r="B154" s="621" t="str">
        <f>B86</f>
        <v>Flare pit</v>
      </c>
      <c r="C154" s="622"/>
      <c r="D154" s="622"/>
      <c r="E154" s="44" t="s">
        <v>133</v>
      </c>
      <c r="F154" s="239">
        <f t="shared" si="29"/>
        <v>0</v>
      </c>
      <c r="G154" s="239">
        <f t="shared" si="29"/>
        <v>0</v>
      </c>
      <c r="H154" s="239">
        <f t="shared" si="29"/>
        <v>0</v>
      </c>
      <c r="I154" s="239">
        <f t="shared" si="29"/>
        <v>0</v>
      </c>
      <c r="J154" s="240">
        <f t="shared" si="29"/>
        <v>0</v>
      </c>
      <c r="K154" s="485"/>
      <c r="L154" s="4"/>
      <c r="M154" s="4"/>
      <c r="N154" s="155"/>
      <c r="O154" s="155"/>
      <c r="P154" s="155"/>
      <c r="Q154" s="155"/>
    </row>
    <row r="155" spans="1:17" s="14" customFormat="1" x14ac:dyDescent="0.2">
      <c r="A155" s="4"/>
      <c r="B155" s="621" t="str">
        <f>B91</f>
        <v>Wastewater tank</v>
      </c>
      <c r="C155" s="622"/>
      <c r="D155" s="622"/>
      <c r="E155" s="44" t="s">
        <v>82</v>
      </c>
      <c r="F155" s="239">
        <f t="shared" si="29"/>
        <v>0</v>
      </c>
      <c r="G155" s="239">
        <f t="shared" si="29"/>
        <v>0</v>
      </c>
      <c r="H155" s="239">
        <f t="shared" si="29"/>
        <v>0</v>
      </c>
      <c r="I155" s="239">
        <f t="shared" si="29"/>
        <v>0</v>
      </c>
      <c r="J155" s="240">
        <f t="shared" si="29"/>
        <v>0</v>
      </c>
      <c r="K155" s="485"/>
      <c r="L155" s="4"/>
      <c r="M155" s="4"/>
      <c r="N155" s="155"/>
      <c r="O155" s="155"/>
      <c r="P155" s="155"/>
      <c r="Q155" s="155"/>
    </row>
    <row r="156" spans="1:17" s="14" customFormat="1" x14ac:dyDescent="0.2">
      <c r="A156" s="4"/>
      <c r="B156" s="621" t="str">
        <f>B92</f>
        <v>Wastewater treatment plant (camp)</v>
      </c>
      <c r="C156" s="622"/>
      <c r="D156" s="622"/>
      <c r="E156" s="44" t="s">
        <v>82</v>
      </c>
      <c r="F156" s="239">
        <f t="shared" si="29"/>
        <v>0</v>
      </c>
      <c r="G156" s="239">
        <f t="shared" si="29"/>
        <v>0</v>
      </c>
      <c r="H156" s="239">
        <f t="shared" si="29"/>
        <v>0</v>
      </c>
      <c r="I156" s="239">
        <f t="shared" si="29"/>
        <v>0</v>
      </c>
      <c r="J156" s="240">
        <f t="shared" si="29"/>
        <v>0</v>
      </c>
      <c r="K156" s="485"/>
      <c r="L156" s="4"/>
      <c r="M156" s="4"/>
      <c r="N156" s="155"/>
      <c r="O156" s="155"/>
      <c r="P156" s="155"/>
      <c r="Q156" s="155"/>
    </row>
    <row r="157" spans="1:17" s="14" customFormat="1" ht="15.75" x14ac:dyDescent="0.2">
      <c r="A157" s="4"/>
      <c r="B157" s="621" t="str">
        <f>B93</f>
        <v>Turkey's nest</v>
      </c>
      <c r="C157" s="622"/>
      <c r="D157" s="622"/>
      <c r="E157" s="44" t="s">
        <v>133</v>
      </c>
      <c r="F157" s="239">
        <f t="shared" si="29"/>
        <v>0</v>
      </c>
      <c r="G157" s="239">
        <f t="shared" si="29"/>
        <v>0</v>
      </c>
      <c r="H157" s="239">
        <f t="shared" si="29"/>
        <v>0</v>
      </c>
      <c r="I157" s="239">
        <f t="shared" si="29"/>
        <v>0</v>
      </c>
      <c r="J157" s="240">
        <f t="shared" si="29"/>
        <v>0</v>
      </c>
      <c r="K157" s="485"/>
      <c r="L157" s="4"/>
      <c r="M157" s="4"/>
      <c r="N157" s="155"/>
      <c r="O157" s="155"/>
      <c r="P157" s="155"/>
      <c r="Q157" s="155"/>
    </row>
    <row r="158" spans="1:17" s="14" customFormat="1" x14ac:dyDescent="0.2">
      <c r="A158" s="4"/>
      <c r="B158" s="621" t="str">
        <f>B98</f>
        <v>Camp capacity</v>
      </c>
      <c r="C158" s="622"/>
      <c r="D158" s="622"/>
      <c r="E158" s="44" t="s">
        <v>82</v>
      </c>
      <c r="F158" s="239">
        <f t="shared" si="29"/>
        <v>0</v>
      </c>
      <c r="G158" s="239">
        <f t="shared" si="29"/>
        <v>0</v>
      </c>
      <c r="H158" s="239">
        <f t="shared" si="29"/>
        <v>0</v>
      </c>
      <c r="I158" s="239">
        <f t="shared" si="29"/>
        <v>0</v>
      </c>
      <c r="J158" s="240">
        <f t="shared" si="29"/>
        <v>0</v>
      </c>
      <c r="K158" s="48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29"/>
        <v>0</v>
      </c>
      <c r="G159" s="239">
        <f t="shared" si="29"/>
        <v>0</v>
      </c>
      <c r="H159" s="239">
        <f t="shared" si="29"/>
        <v>0</v>
      </c>
      <c r="I159" s="239">
        <f t="shared" si="29"/>
        <v>0</v>
      </c>
      <c r="J159" s="240">
        <f t="shared" si="29"/>
        <v>0</v>
      </c>
      <c r="K159" s="48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29"/>
        <v>0</v>
      </c>
      <c r="G160" s="239">
        <f t="shared" si="29"/>
        <v>0</v>
      </c>
      <c r="H160" s="239">
        <f t="shared" si="29"/>
        <v>0</v>
      </c>
      <c r="I160" s="239">
        <f t="shared" si="29"/>
        <v>0</v>
      </c>
      <c r="J160" s="240">
        <f t="shared" si="29"/>
        <v>0</v>
      </c>
      <c r="K160" s="485"/>
      <c r="L160" s="4"/>
      <c r="M160" s="4"/>
      <c r="N160" s="155"/>
      <c r="O160" s="155"/>
      <c r="P160" s="155"/>
      <c r="Q160" s="155"/>
    </row>
    <row r="161" spans="1:18" s="14" customFormat="1" x14ac:dyDescent="0.2">
      <c r="A161" s="4"/>
      <c r="B161" s="621" t="str">
        <f>B104</f>
        <v>General waste</v>
      </c>
      <c r="C161" s="622"/>
      <c r="D161" s="622"/>
      <c r="E161" s="44" t="s">
        <v>177</v>
      </c>
      <c r="F161" s="239">
        <f t="shared" si="29"/>
        <v>0</v>
      </c>
      <c r="G161" s="239">
        <f t="shared" si="29"/>
        <v>0</v>
      </c>
      <c r="H161" s="239">
        <f t="shared" si="29"/>
        <v>0</v>
      </c>
      <c r="I161" s="239">
        <f t="shared" si="29"/>
        <v>0</v>
      </c>
      <c r="J161" s="240">
        <f t="shared" si="29"/>
        <v>0</v>
      </c>
      <c r="K161" s="485"/>
      <c r="L161" s="4"/>
      <c r="M161" s="4"/>
      <c r="N161" s="155"/>
      <c r="O161" s="155"/>
      <c r="P161" s="155"/>
      <c r="Q161" s="155"/>
    </row>
    <row r="162" spans="1:18" s="14" customFormat="1" x14ac:dyDescent="0.2">
      <c r="A162" s="4"/>
      <c r="B162" s="621" t="str">
        <f>B105</f>
        <v>Listed waste</v>
      </c>
      <c r="C162" s="622"/>
      <c r="D162" s="622"/>
      <c r="E162" s="44" t="s">
        <v>177</v>
      </c>
      <c r="F162" s="239">
        <f t="shared" si="29"/>
        <v>0</v>
      </c>
      <c r="G162" s="239">
        <f t="shared" si="29"/>
        <v>0</v>
      </c>
      <c r="H162" s="239">
        <f t="shared" si="29"/>
        <v>0</v>
      </c>
      <c r="I162" s="239">
        <f t="shared" si="29"/>
        <v>0</v>
      </c>
      <c r="J162" s="240">
        <f t="shared" si="29"/>
        <v>0</v>
      </c>
      <c r="K162" s="48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29"/>
        <v>0</v>
      </c>
      <c r="G163" s="239">
        <f t="shared" si="29"/>
        <v>0</v>
      </c>
      <c r="H163" s="239">
        <f t="shared" si="29"/>
        <v>0</v>
      </c>
      <c r="I163" s="239">
        <f t="shared" si="29"/>
        <v>0</v>
      </c>
      <c r="J163" s="240">
        <f t="shared" si="29"/>
        <v>0</v>
      </c>
      <c r="K163" s="485"/>
      <c r="L163" s="4"/>
      <c r="M163" s="4"/>
      <c r="N163" s="155"/>
      <c r="O163" s="155"/>
      <c r="P163" s="155"/>
      <c r="Q163" s="155"/>
    </row>
    <row r="164" spans="1:18" s="14" customFormat="1" x14ac:dyDescent="0.2">
      <c r="A164" s="4"/>
      <c r="B164" s="621" t="str">
        <f>B107</f>
        <v>Hydraulic Fracking Fluid</v>
      </c>
      <c r="C164" s="622"/>
      <c r="D164" s="622"/>
      <c r="E164" s="44" t="s">
        <v>181</v>
      </c>
      <c r="F164" s="239">
        <f t="shared" si="29"/>
        <v>0</v>
      </c>
      <c r="G164" s="239">
        <f t="shared" si="29"/>
        <v>0</v>
      </c>
      <c r="H164" s="239">
        <f t="shared" si="29"/>
        <v>0</v>
      </c>
      <c r="I164" s="239">
        <f t="shared" si="29"/>
        <v>0</v>
      </c>
      <c r="J164" s="240">
        <f t="shared" si="29"/>
        <v>0</v>
      </c>
      <c r="K164" s="48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29"/>
        <v>0</v>
      </c>
      <c r="G165" s="239">
        <f t="shared" si="29"/>
        <v>0</v>
      </c>
      <c r="H165" s="239">
        <f t="shared" si="29"/>
        <v>0</v>
      </c>
      <c r="I165" s="239">
        <f t="shared" si="29"/>
        <v>0</v>
      </c>
      <c r="J165" s="240">
        <f t="shared" si="29"/>
        <v>0</v>
      </c>
      <c r="K165" s="48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29"/>
        <v>0</v>
      </c>
      <c r="G166" s="239">
        <f t="shared" si="29"/>
        <v>0</v>
      </c>
      <c r="H166" s="239">
        <f t="shared" si="29"/>
        <v>0</v>
      </c>
      <c r="I166" s="239">
        <f t="shared" si="29"/>
        <v>0</v>
      </c>
      <c r="J166" s="240">
        <f t="shared" si="29"/>
        <v>0</v>
      </c>
      <c r="K166" s="48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29"/>
        <v>0</v>
      </c>
      <c r="G167" s="239">
        <f t="shared" si="29"/>
        <v>0</v>
      </c>
      <c r="H167" s="239">
        <f t="shared" si="29"/>
        <v>0</v>
      </c>
      <c r="I167" s="239">
        <f t="shared" si="29"/>
        <v>0</v>
      </c>
      <c r="J167" s="240">
        <f t="shared" si="29"/>
        <v>0</v>
      </c>
      <c r="K167" s="48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29"/>
        <v>0</v>
      </c>
      <c r="G168" s="239">
        <f t="shared" si="29"/>
        <v>0</v>
      </c>
      <c r="H168" s="239">
        <f t="shared" si="29"/>
        <v>0</v>
      </c>
      <c r="I168" s="239">
        <f t="shared" si="29"/>
        <v>0</v>
      </c>
      <c r="J168" s="240">
        <f t="shared" si="29"/>
        <v>0</v>
      </c>
      <c r="K168" s="48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29"/>
        <v>0</v>
      </c>
      <c r="G169" s="499">
        <f t="shared" si="29"/>
        <v>0</v>
      </c>
      <c r="H169" s="499">
        <f t="shared" si="29"/>
        <v>0</v>
      </c>
      <c r="I169" s="499">
        <f t="shared" si="29"/>
        <v>0</v>
      </c>
      <c r="J169" s="500">
        <f t="shared" si="29"/>
        <v>0</v>
      </c>
      <c r="K169" s="485"/>
      <c r="L169" s="4"/>
      <c r="M169" s="4"/>
      <c r="N169" s="155"/>
      <c r="O169" s="155"/>
      <c r="P169" s="155"/>
      <c r="Q169" s="155"/>
    </row>
    <row r="170" spans="1:18" x14ac:dyDescent="0.2">
      <c r="B170" s="32"/>
      <c r="O170" s="5"/>
      <c r="P170" s="5"/>
    </row>
    <row r="171" spans="1:18" ht="15" thickBot="1" x14ac:dyDescent="0.25">
      <c r="B171" s="207" t="str">
        <f ca="1">"Table "&amp;$N$9&amp;".4 Summary of security value by disturbance activity"</f>
        <v>Table 3.4 Summary of security value by disturbance activity</v>
      </c>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8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485"/>
      <c r="L173" s="4"/>
      <c r="M173" s="4"/>
    </row>
    <row r="174" spans="1:18" s="14" customFormat="1" x14ac:dyDescent="0.2">
      <c r="A174" s="4"/>
      <c r="B174" s="129" t="s">
        <v>23</v>
      </c>
      <c r="C174" s="619" t="str">
        <f t="shared" ref="C174:C209" si="30">B134</f>
        <v>Flowline right of ways - By track</v>
      </c>
      <c r="D174" s="620"/>
      <c r="E174" s="246">
        <f>SUMIF('Unit Rates'!J:J,$C174,'Unit Rates'!F:F)</f>
        <v>1242</v>
      </c>
      <c r="F174" s="243">
        <f t="shared" ref="F174:J189" si="31">$E174*F134</f>
        <v>0</v>
      </c>
      <c r="G174" s="243">
        <f t="shared" si="31"/>
        <v>0</v>
      </c>
      <c r="H174" s="243">
        <f t="shared" si="31"/>
        <v>0</v>
      </c>
      <c r="I174" s="243">
        <f t="shared" si="31"/>
        <v>0</v>
      </c>
      <c r="J174" s="244">
        <f t="shared" si="31"/>
        <v>0</v>
      </c>
      <c r="K174" s="485"/>
      <c r="L174" s="4"/>
      <c r="M174" s="4"/>
    </row>
    <row r="175" spans="1:18" s="14" customFormat="1" x14ac:dyDescent="0.2">
      <c r="A175" s="4"/>
      <c r="B175" s="129" t="s">
        <v>23</v>
      </c>
      <c r="C175" s="619" t="str">
        <f t="shared" si="30"/>
        <v>Flowline right of ways - Not by track</v>
      </c>
      <c r="D175" s="620"/>
      <c r="E175" s="246">
        <f>SUMIF('Unit Rates'!J:J,$C175,'Unit Rates'!F:F)</f>
        <v>2484</v>
      </c>
      <c r="F175" s="243">
        <f t="shared" si="31"/>
        <v>0</v>
      </c>
      <c r="G175" s="243">
        <f t="shared" si="31"/>
        <v>0</v>
      </c>
      <c r="H175" s="243">
        <f t="shared" si="31"/>
        <v>0</v>
      </c>
      <c r="I175" s="243">
        <f t="shared" si="31"/>
        <v>0</v>
      </c>
      <c r="J175" s="244">
        <f t="shared" si="31"/>
        <v>0</v>
      </c>
      <c r="K175" s="485"/>
      <c r="L175" s="4"/>
      <c r="M175" s="4"/>
    </row>
    <row r="176" spans="1:18" s="14" customFormat="1" x14ac:dyDescent="0.2">
      <c r="A176" s="4"/>
      <c r="B176" s="129" t="s">
        <v>23</v>
      </c>
      <c r="C176" s="619" t="str">
        <f t="shared" si="30"/>
        <v>Access track (existing)</v>
      </c>
      <c r="D176" s="620"/>
      <c r="E176" s="246">
        <f>SUMIF('Unit Rates'!J:J,$C176,'Unit Rates'!F:F)</f>
        <v>4553</v>
      </c>
      <c r="F176" s="243">
        <f t="shared" si="31"/>
        <v>0</v>
      </c>
      <c r="G176" s="243">
        <f t="shared" si="31"/>
        <v>0</v>
      </c>
      <c r="H176" s="243">
        <f t="shared" si="31"/>
        <v>0</v>
      </c>
      <c r="I176" s="243">
        <f t="shared" si="31"/>
        <v>0</v>
      </c>
      <c r="J176" s="244">
        <f t="shared" si="31"/>
        <v>0</v>
      </c>
      <c r="K176" s="485"/>
      <c r="L176" s="4"/>
      <c r="M176" s="4"/>
      <c r="N176" s="155"/>
      <c r="Q176" s="155"/>
      <c r="R176" s="155"/>
    </row>
    <row r="177" spans="1:20" s="14" customFormat="1" x14ac:dyDescent="0.2">
      <c r="A177" s="4"/>
      <c r="B177" s="129" t="s">
        <v>23</v>
      </c>
      <c r="C177" s="619" t="str">
        <f t="shared" si="30"/>
        <v>Access track (new) - No seeding</v>
      </c>
      <c r="D177" s="620"/>
      <c r="E177" s="246">
        <f>SUMIF('Unit Rates'!J:J,$C177,'Unit Rates'!F:F)</f>
        <v>3133</v>
      </c>
      <c r="F177" s="243">
        <f t="shared" si="31"/>
        <v>0</v>
      </c>
      <c r="G177" s="243">
        <f t="shared" si="31"/>
        <v>0</v>
      </c>
      <c r="H177" s="243">
        <f t="shared" si="31"/>
        <v>0</v>
      </c>
      <c r="I177" s="243">
        <f t="shared" si="31"/>
        <v>0</v>
      </c>
      <c r="J177" s="244">
        <f t="shared" si="31"/>
        <v>0</v>
      </c>
      <c r="K177" s="485"/>
      <c r="L177" s="4"/>
      <c r="M177" s="4"/>
      <c r="N177" s="155"/>
      <c r="Q177" s="155"/>
    </row>
    <row r="178" spans="1:20" s="14" customFormat="1" x14ac:dyDescent="0.2">
      <c r="A178" s="4"/>
      <c r="B178" s="129" t="s">
        <v>23</v>
      </c>
      <c r="C178" s="619" t="str">
        <f t="shared" si="30"/>
        <v>Access track (new) - With seeding</v>
      </c>
      <c r="D178" s="620"/>
      <c r="E178" s="246">
        <f>SUMIF('Unit Rates'!J:J,$C178,'Unit Rates'!F:F)</f>
        <v>3942</v>
      </c>
      <c r="F178" s="243">
        <f t="shared" si="31"/>
        <v>0</v>
      </c>
      <c r="G178" s="243">
        <f t="shared" si="31"/>
        <v>0</v>
      </c>
      <c r="H178" s="243">
        <f t="shared" si="31"/>
        <v>0</v>
      </c>
      <c r="I178" s="243">
        <f t="shared" si="31"/>
        <v>0</v>
      </c>
      <c r="J178" s="244">
        <f t="shared" si="31"/>
        <v>0</v>
      </c>
      <c r="K178" s="485"/>
      <c r="L178" s="4"/>
      <c r="M178" s="4"/>
      <c r="N178" s="155"/>
      <c r="Q178" s="155"/>
    </row>
    <row r="179" spans="1:20" s="14" customFormat="1" x14ac:dyDescent="0.2">
      <c r="A179" s="4"/>
      <c r="B179" s="129" t="s">
        <v>23</v>
      </c>
      <c r="C179" s="619" t="str">
        <f t="shared" si="30"/>
        <v>Laydown areas - With seeding, with ripping</v>
      </c>
      <c r="D179" s="620"/>
      <c r="E179" s="246">
        <f>SUMIF('Unit Rates'!J:J,$C179,'Unit Rates'!F:F)</f>
        <v>2879</v>
      </c>
      <c r="F179" s="243">
        <f t="shared" si="31"/>
        <v>0</v>
      </c>
      <c r="G179" s="243">
        <f t="shared" si="31"/>
        <v>0</v>
      </c>
      <c r="H179" s="243">
        <f t="shared" si="31"/>
        <v>0</v>
      </c>
      <c r="I179" s="243">
        <f t="shared" si="31"/>
        <v>0</v>
      </c>
      <c r="J179" s="244">
        <f t="shared" si="31"/>
        <v>0</v>
      </c>
      <c r="K179" s="485"/>
      <c r="L179" s="4"/>
      <c r="M179" s="4"/>
      <c r="N179" s="155"/>
      <c r="Q179" s="155"/>
    </row>
    <row r="180" spans="1:20" s="14" customFormat="1" x14ac:dyDescent="0.2">
      <c r="A180" s="4"/>
      <c r="B180" s="129" t="s">
        <v>23</v>
      </c>
      <c r="C180" s="619" t="str">
        <f t="shared" si="30"/>
        <v>Laydown areas - With seeding, no ripping</v>
      </c>
      <c r="D180" s="620"/>
      <c r="E180" s="246">
        <f>SUMIF('Unit Rates'!J:J,$C180,'Unit Rates'!F:F)</f>
        <v>2379</v>
      </c>
      <c r="F180" s="243">
        <f t="shared" si="31"/>
        <v>0</v>
      </c>
      <c r="G180" s="243">
        <f t="shared" si="31"/>
        <v>0</v>
      </c>
      <c r="H180" s="243">
        <f t="shared" si="31"/>
        <v>0</v>
      </c>
      <c r="I180" s="243">
        <f t="shared" si="31"/>
        <v>0</v>
      </c>
      <c r="J180" s="244">
        <f t="shared" si="31"/>
        <v>0</v>
      </c>
      <c r="K180" s="485"/>
      <c r="L180" s="4"/>
    </row>
    <row r="181" spans="1:20" s="14" customFormat="1" x14ac:dyDescent="0.2">
      <c r="A181" s="4"/>
      <c r="B181" s="129" t="s">
        <v>23</v>
      </c>
      <c r="C181" s="619" t="str">
        <f t="shared" si="30"/>
        <v>Laydown areas - No seeding, with ripping</v>
      </c>
      <c r="D181" s="620"/>
      <c r="E181" s="246">
        <f>SUMIF('Unit Rates'!J:J,$C181,'Unit Rates'!F:F)</f>
        <v>2070</v>
      </c>
      <c r="F181" s="243">
        <f t="shared" si="31"/>
        <v>0</v>
      </c>
      <c r="G181" s="243">
        <f t="shared" si="31"/>
        <v>0</v>
      </c>
      <c r="H181" s="243">
        <f t="shared" si="31"/>
        <v>0</v>
      </c>
      <c r="I181" s="243">
        <f t="shared" si="31"/>
        <v>0</v>
      </c>
      <c r="J181" s="244">
        <f t="shared" si="31"/>
        <v>0</v>
      </c>
      <c r="K181" s="485"/>
      <c r="L181" s="4"/>
    </row>
    <row r="182" spans="1:20" s="14" customFormat="1" x14ac:dyDescent="0.2">
      <c r="A182" s="4"/>
      <c r="B182" s="129" t="s">
        <v>23</v>
      </c>
      <c r="C182" s="619" t="str">
        <f t="shared" si="30"/>
        <v>Laydown areas - No seeding, no ripping</v>
      </c>
      <c r="D182" s="620"/>
      <c r="E182" s="246">
        <f>SUMIF('Unit Rates'!J:J,$C182,'Unit Rates'!F:F)</f>
        <v>1570</v>
      </c>
      <c r="F182" s="243">
        <f t="shared" si="31"/>
        <v>0</v>
      </c>
      <c r="G182" s="243">
        <f t="shared" si="31"/>
        <v>0</v>
      </c>
      <c r="H182" s="243">
        <f t="shared" si="31"/>
        <v>0</v>
      </c>
      <c r="I182" s="243">
        <f t="shared" si="31"/>
        <v>0</v>
      </c>
      <c r="J182" s="244">
        <f t="shared" si="31"/>
        <v>0</v>
      </c>
      <c r="K182" s="485"/>
      <c r="L182" s="4"/>
    </row>
    <row r="183" spans="1:20" s="14" customFormat="1" x14ac:dyDescent="0.2">
      <c r="A183" s="4"/>
      <c r="B183" s="40" t="s">
        <v>23</v>
      </c>
      <c r="C183" s="619" t="str">
        <f t="shared" si="30"/>
        <v>Gravel pits</v>
      </c>
      <c r="D183" s="620"/>
      <c r="E183" s="246">
        <f>SUMIF('Unit Rates'!J:J,$C183,'Unit Rates'!F:F)</f>
        <v>3076.67</v>
      </c>
      <c r="F183" s="243">
        <f t="shared" si="31"/>
        <v>0</v>
      </c>
      <c r="G183" s="243">
        <f t="shared" si="31"/>
        <v>0</v>
      </c>
      <c r="H183" s="243">
        <f t="shared" si="31"/>
        <v>0</v>
      </c>
      <c r="I183" s="243">
        <f t="shared" si="31"/>
        <v>0</v>
      </c>
      <c r="J183" s="244">
        <f t="shared" si="31"/>
        <v>0</v>
      </c>
      <c r="K183" s="485"/>
      <c r="L183" s="4"/>
    </row>
    <row r="184" spans="1:20" s="14" customFormat="1" x14ac:dyDescent="0.2">
      <c r="A184" s="4"/>
      <c r="B184" s="40" t="s">
        <v>23</v>
      </c>
      <c r="C184" s="619" t="str">
        <f t="shared" si="30"/>
        <v>Well pad</v>
      </c>
      <c r="D184" s="620"/>
      <c r="E184" s="246">
        <f>SUMIF('Unit Rates'!J:J,$C184,'Unit Rates'!F:F)</f>
        <v>5785</v>
      </c>
      <c r="F184" s="243">
        <f t="shared" si="31"/>
        <v>0</v>
      </c>
      <c r="G184" s="243">
        <f t="shared" si="31"/>
        <v>0</v>
      </c>
      <c r="H184" s="243">
        <f t="shared" si="31"/>
        <v>0</v>
      </c>
      <c r="I184" s="243">
        <f t="shared" si="31"/>
        <v>0</v>
      </c>
      <c r="J184" s="244">
        <f t="shared" si="31"/>
        <v>0</v>
      </c>
      <c r="K184" s="485"/>
      <c r="L184" s="4"/>
    </row>
    <row r="185" spans="1:20" s="14" customFormat="1" x14ac:dyDescent="0.2">
      <c r="A185" s="4"/>
      <c r="B185" s="40" t="s">
        <v>23</v>
      </c>
      <c r="C185" s="619" t="str">
        <f t="shared" si="30"/>
        <v>Camp - With seeding</v>
      </c>
      <c r="D185" s="620"/>
      <c r="E185" s="246">
        <f>SUMIF('Unit Rates'!J:J,$C185,'Unit Rates'!F:F)</f>
        <v>3439</v>
      </c>
      <c r="F185" s="243">
        <f t="shared" si="31"/>
        <v>0</v>
      </c>
      <c r="G185" s="243">
        <f t="shared" si="31"/>
        <v>0</v>
      </c>
      <c r="H185" s="243">
        <f t="shared" si="31"/>
        <v>0</v>
      </c>
      <c r="I185" s="243">
        <f t="shared" si="31"/>
        <v>0</v>
      </c>
      <c r="J185" s="244">
        <f t="shared" si="31"/>
        <v>0</v>
      </c>
      <c r="K185" s="485"/>
      <c r="L185" s="4"/>
    </row>
    <row r="186" spans="1:20" s="14" customFormat="1" x14ac:dyDescent="0.2">
      <c r="A186" s="4"/>
      <c r="B186" s="40" t="s">
        <v>23</v>
      </c>
      <c r="C186" s="619" t="str">
        <f t="shared" si="30"/>
        <v>Camp - No seeding</v>
      </c>
      <c r="D186" s="620"/>
      <c r="E186" s="246">
        <f>SUMIF('Unit Rates'!J:J,$C186,'Unit Rates'!F:F)</f>
        <v>2630</v>
      </c>
      <c r="F186" s="243">
        <f t="shared" si="31"/>
        <v>0</v>
      </c>
      <c r="G186" s="243">
        <f t="shared" si="31"/>
        <v>0</v>
      </c>
      <c r="H186" s="243">
        <f t="shared" si="31"/>
        <v>0</v>
      </c>
      <c r="I186" s="243">
        <f t="shared" si="31"/>
        <v>0</v>
      </c>
      <c r="J186" s="244">
        <f t="shared" si="31"/>
        <v>0</v>
      </c>
      <c r="K186" s="485"/>
      <c r="L186" s="4"/>
      <c r="M186" s="4"/>
      <c r="N186" s="4"/>
      <c r="O186" s="4"/>
      <c r="P186" s="4"/>
      <c r="Q186" s="4"/>
      <c r="R186" s="4"/>
      <c r="S186" s="4"/>
      <c r="T186" s="4"/>
    </row>
    <row r="187" spans="1:20" s="14" customFormat="1" x14ac:dyDescent="0.2">
      <c r="A187" s="4"/>
      <c r="B187" s="40" t="s">
        <v>23</v>
      </c>
      <c r="C187" s="619" t="str">
        <f t="shared" si="30"/>
        <v>Miscellaneous clearing - With seeding</v>
      </c>
      <c r="D187" s="620"/>
      <c r="E187" s="246">
        <f>SUMIF('Unit Rates'!J:J,$C187,'Unit Rates'!F:F)</f>
        <v>3439</v>
      </c>
      <c r="F187" s="243">
        <f t="shared" si="31"/>
        <v>0</v>
      </c>
      <c r="G187" s="243">
        <f t="shared" si="31"/>
        <v>0</v>
      </c>
      <c r="H187" s="243">
        <f t="shared" si="31"/>
        <v>0</v>
      </c>
      <c r="I187" s="243">
        <f t="shared" si="31"/>
        <v>0</v>
      </c>
      <c r="J187" s="244">
        <f t="shared" si="31"/>
        <v>0</v>
      </c>
      <c r="K187" s="485"/>
      <c r="L187" s="4"/>
      <c r="M187" s="4"/>
      <c r="N187" s="4"/>
      <c r="O187" s="4"/>
      <c r="P187" s="4"/>
      <c r="Q187" s="4"/>
      <c r="R187" s="4"/>
      <c r="S187" s="4"/>
      <c r="T187" s="4"/>
    </row>
    <row r="188" spans="1:20" s="14" customFormat="1" x14ac:dyDescent="0.2">
      <c r="A188" s="4"/>
      <c r="B188" s="40" t="s">
        <v>23</v>
      </c>
      <c r="C188" s="619" t="str">
        <f t="shared" si="30"/>
        <v>Miscellaneous clearing - No seeding</v>
      </c>
      <c r="D188" s="620"/>
      <c r="E188" s="246">
        <f>SUMIF('Unit Rates'!J:J,$C188,'Unit Rates'!F:F)</f>
        <v>2630</v>
      </c>
      <c r="F188" s="243">
        <f t="shared" si="31"/>
        <v>0</v>
      </c>
      <c r="G188" s="243">
        <f t="shared" si="31"/>
        <v>0</v>
      </c>
      <c r="H188" s="243">
        <f t="shared" si="31"/>
        <v>0</v>
      </c>
      <c r="I188" s="243">
        <f t="shared" si="31"/>
        <v>0</v>
      </c>
      <c r="J188" s="244">
        <f t="shared" si="31"/>
        <v>0</v>
      </c>
      <c r="K188" s="485"/>
      <c r="L188" s="4"/>
      <c r="M188" s="4"/>
      <c r="N188" s="4"/>
      <c r="O188" s="4"/>
      <c r="P188" s="4"/>
      <c r="Q188" s="4"/>
      <c r="R188" s="4"/>
      <c r="S188" s="4"/>
      <c r="T188" s="4"/>
    </row>
    <row r="189" spans="1:20" s="14" customFormat="1" x14ac:dyDescent="0.2">
      <c r="A189" s="4"/>
      <c r="B189" s="40" t="s">
        <v>32</v>
      </c>
      <c r="C189" s="619" t="str">
        <f t="shared" si="30"/>
        <v>Fencing</v>
      </c>
      <c r="D189" s="620"/>
      <c r="E189" s="247">
        <f>SUMIF('Unit Rates'!J:J,$C189,'Unit Rates'!F:F)</f>
        <v>2.5499999999999998</v>
      </c>
      <c r="F189" s="243">
        <f t="shared" si="31"/>
        <v>0</v>
      </c>
      <c r="G189" s="243">
        <f t="shared" si="31"/>
        <v>0</v>
      </c>
      <c r="H189" s="243">
        <f t="shared" si="31"/>
        <v>0</v>
      </c>
      <c r="I189" s="243">
        <f t="shared" si="31"/>
        <v>0</v>
      </c>
      <c r="J189" s="244">
        <f t="shared" si="31"/>
        <v>0</v>
      </c>
      <c r="K189" s="485"/>
      <c r="L189" s="4"/>
      <c r="M189" s="4"/>
      <c r="N189" s="4"/>
      <c r="O189" s="4"/>
      <c r="P189" s="4"/>
      <c r="Q189" s="4"/>
      <c r="R189" s="4"/>
      <c r="S189" s="4"/>
      <c r="T189" s="4"/>
    </row>
    <row r="190" spans="1:20" s="14" customFormat="1" x14ac:dyDescent="0.2">
      <c r="A190" s="4"/>
      <c r="B190" s="40" t="s">
        <v>32</v>
      </c>
      <c r="C190" s="619" t="str">
        <f t="shared" si="30"/>
        <v>Groundwater bore &lt; 70m TVD</v>
      </c>
      <c r="D190" s="620"/>
      <c r="E190" s="246">
        <f>SUMIF('Unit Rates'!J:J,$C190,'Unit Rates'!F:F)</f>
        <v>12150</v>
      </c>
      <c r="F190" s="243">
        <f t="shared" ref="F190:J197" si="32">$E190*F150</f>
        <v>0</v>
      </c>
      <c r="G190" s="243">
        <f t="shared" si="32"/>
        <v>0</v>
      </c>
      <c r="H190" s="243">
        <f t="shared" si="32"/>
        <v>0</v>
      </c>
      <c r="I190" s="243">
        <f t="shared" si="32"/>
        <v>0</v>
      </c>
      <c r="J190" s="244">
        <f t="shared" si="32"/>
        <v>0</v>
      </c>
      <c r="K190" s="485"/>
      <c r="L190" s="4"/>
      <c r="M190" s="4"/>
      <c r="N190" s="4"/>
      <c r="O190" s="4"/>
      <c r="P190" s="4"/>
      <c r="Q190" s="4"/>
      <c r="R190" s="4"/>
      <c r="S190" s="4"/>
      <c r="T190" s="4"/>
    </row>
    <row r="191" spans="1:20" s="14" customFormat="1" x14ac:dyDescent="0.2">
      <c r="A191" s="4"/>
      <c r="B191" s="40" t="s">
        <v>32</v>
      </c>
      <c r="C191" s="619" t="str">
        <f t="shared" si="30"/>
        <v>Groundwater bore ≥ 70m TVD</v>
      </c>
      <c r="D191" s="620"/>
      <c r="E191" s="246">
        <f>SUMIF('Unit Rates'!J:J,$C191,'Unit Rates'!F:F)</f>
        <v>15150</v>
      </c>
      <c r="F191" s="243">
        <f t="shared" si="32"/>
        <v>0</v>
      </c>
      <c r="G191" s="243">
        <f t="shared" si="32"/>
        <v>0</v>
      </c>
      <c r="H191" s="243">
        <f t="shared" si="32"/>
        <v>0</v>
      </c>
      <c r="I191" s="243">
        <f t="shared" si="32"/>
        <v>0</v>
      </c>
      <c r="J191" s="244">
        <f t="shared" si="32"/>
        <v>0</v>
      </c>
      <c r="K191" s="485"/>
      <c r="L191" s="4"/>
      <c r="M191" s="4"/>
      <c r="N191" s="4"/>
      <c r="Q191" s="4"/>
      <c r="R191" s="4"/>
      <c r="S191" s="4"/>
      <c r="T191" s="4"/>
    </row>
    <row r="192" spans="1:20" s="14" customFormat="1" x14ac:dyDescent="0.2">
      <c r="A192" s="4"/>
      <c r="B192" s="40" t="s">
        <v>32</v>
      </c>
      <c r="C192" s="619" t="str">
        <f t="shared" si="30"/>
        <v>Drill sump liners</v>
      </c>
      <c r="D192" s="620"/>
      <c r="E192" s="246">
        <f>SUMIF('Unit Rates'!J:J,$C192,'Unit Rates'!F:F)</f>
        <v>5050</v>
      </c>
      <c r="F192" s="243">
        <f t="shared" si="32"/>
        <v>0</v>
      </c>
      <c r="G192" s="243">
        <f t="shared" si="32"/>
        <v>0</v>
      </c>
      <c r="H192" s="243">
        <f t="shared" si="32"/>
        <v>0</v>
      </c>
      <c r="I192" s="243">
        <f t="shared" si="32"/>
        <v>0</v>
      </c>
      <c r="J192" s="244">
        <f t="shared" si="32"/>
        <v>0</v>
      </c>
      <c r="K192" s="485"/>
      <c r="L192" s="4"/>
      <c r="M192" s="4"/>
      <c r="N192" s="423">
        <v>0</v>
      </c>
      <c r="O192" s="424" t="s">
        <v>276</v>
      </c>
      <c r="R192" s="155"/>
    </row>
    <row r="193" spans="1:25" s="14" customFormat="1" x14ac:dyDescent="0.2">
      <c r="A193" s="4"/>
      <c r="B193" s="40" t="s">
        <v>32</v>
      </c>
      <c r="C193" s="619" t="str">
        <f t="shared" si="30"/>
        <v>Drill sump</v>
      </c>
      <c r="D193" s="620"/>
      <c r="E193" s="247">
        <f>SUMIF('Unit Rates'!J:J,$C193,'Unit Rates'!F:F)</f>
        <v>2.36</v>
      </c>
      <c r="F193" s="243">
        <f t="shared" si="32"/>
        <v>0</v>
      </c>
      <c r="G193" s="243">
        <f t="shared" si="32"/>
        <v>0</v>
      </c>
      <c r="H193" s="243">
        <f t="shared" si="32"/>
        <v>0</v>
      </c>
      <c r="I193" s="243">
        <f t="shared" si="32"/>
        <v>0</v>
      </c>
      <c r="J193" s="244">
        <f t="shared" si="32"/>
        <v>0</v>
      </c>
      <c r="K193" s="485"/>
      <c r="L193" s="4"/>
      <c r="M193" s="4"/>
      <c r="N193" s="151">
        <v>1</v>
      </c>
      <c r="O193" s="152" t="s">
        <v>211</v>
      </c>
      <c r="R193" s="155"/>
    </row>
    <row r="194" spans="1:25" s="14" customFormat="1" x14ac:dyDescent="0.2">
      <c r="A194" s="4"/>
      <c r="B194" s="40" t="s">
        <v>32</v>
      </c>
      <c r="C194" s="619" t="str">
        <f t="shared" si="30"/>
        <v>Flare pit</v>
      </c>
      <c r="D194" s="620"/>
      <c r="E194" s="247">
        <f>SUMIF('Unit Rates'!J:J,$C194,'Unit Rates'!F:F)</f>
        <v>2.36</v>
      </c>
      <c r="F194" s="243">
        <f t="shared" si="32"/>
        <v>0</v>
      </c>
      <c r="G194" s="243">
        <f t="shared" si="32"/>
        <v>0</v>
      </c>
      <c r="H194" s="243">
        <f t="shared" si="32"/>
        <v>0</v>
      </c>
      <c r="I194" s="243">
        <f t="shared" si="32"/>
        <v>0</v>
      </c>
      <c r="J194" s="244">
        <f t="shared" si="32"/>
        <v>0</v>
      </c>
      <c r="K194" s="485"/>
      <c r="L194" s="4"/>
      <c r="M194" s="4"/>
      <c r="N194" s="151">
        <v>2</v>
      </c>
      <c r="O194" s="152" t="s">
        <v>212</v>
      </c>
      <c r="R194" s="155"/>
    </row>
    <row r="195" spans="1:25" s="14" customFormat="1" x14ac:dyDescent="0.2">
      <c r="A195" s="4"/>
      <c r="B195" s="40" t="s">
        <v>32</v>
      </c>
      <c r="C195" s="619" t="str">
        <f t="shared" si="30"/>
        <v>Wastewater tank</v>
      </c>
      <c r="D195" s="620"/>
      <c r="E195" s="246">
        <f>SUMIF('Unit Rates'!J:J,$C195,'Unit Rates'!F:F)</f>
        <v>15100</v>
      </c>
      <c r="F195" s="243">
        <f t="shared" si="32"/>
        <v>0</v>
      </c>
      <c r="G195" s="243">
        <f t="shared" si="32"/>
        <v>0</v>
      </c>
      <c r="H195" s="243">
        <f t="shared" si="32"/>
        <v>0</v>
      </c>
      <c r="I195" s="243">
        <f t="shared" si="32"/>
        <v>0</v>
      </c>
      <c r="J195" s="244">
        <f t="shared" si="32"/>
        <v>0</v>
      </c>
      <c r="K195" s="485"/>
      <c r="L195" s="4"/>
      <c r="M195" s="4"/>
      <c r="N195" s="425">
        <v>3</v>
      </c>
      <c r="O195" s="426" t="s">
        <v>213</v>
      </c>
      <c r="R195" s="155"/>
    </row>
    <row r="196" spans="1:25" s="14" customFormat="1" x14ac:dyDescent="0.2">
      <c r="A196" s="4"/>
      <c r="B196" s="40" t="s">
        <v>32</v>
      </c>
      <c r="C196" s="619" t="str">
        <f t="shared" si="30"/>
        <v>Wastewater treatment plant (camp)</v>
      </c>
      <c r="D196" s="620"/>
      <c r="E196" s="246">
        <f>SUMIF('Unit Rates'!J:J,$C196,'Unit Rates'!F:F)</f>
        <v>7850</v>
      </c>
      <c r="F196" s="243">
        <f t="shared" si="32"/>
        <v>0</v>
      </c>
      <c r="G196" s="243">
        <f t="shared" si="32"/>
        <v>0</v>
      </c>
      <c r="H196" s="243">
        <f t="shared" si="32"/>
        <v>0</v>
      </c>
      <c r="I196" s="243">
        <f t="shared" si="32"/>
        <v>0</v>
      </c>
      <c r="J196" s="244">
        <f t="shared" si="32"/>
        <v>0</v>
      </c>
      <c r="K196" s="485"/>
      <c r="L196" s="4"/>
      <c r="M196" s="4"/>
      <c r="N196" s="425">
        <v>4</v>
      </c>
      <c r="O196" s="426" t="s">
        <v>214</v>
      </c>
      <c r="R196" s="155"/>
    </row>
    <row r="197" spans="1:25" s="14" customFormat="1" x14ac:dyDescent="0.2">
      <c r="A197" s="4"/>
      <c r="B197" s="40" t="s">
        <v>32</v>
      </c>
      <c r="C197" s="619" t="str">
        <f t="shared" si="30"/>
        <v>Turkey's nest</v>
      </c>
      <c r="D197" s="620"/>
      <c r="E197" s="247">
        <f>SUMIF('Unit Rates'!J:J,$C197,'Unit Rates'!F:F)</f>
        <v>2.36</v>
      </c>
      <c r="F197" s="243">
        <f t="shared" si="32"/>
        <v>0</v>
      </c>
      <c r="G197" s="243">
        <f t="shared" si="32"/>
        <v>0</v>
      </c>
      <c r="H197" s="243">
        <f t="shared" si="32"/>
        <v>0</v>
      </c>
      <c r="I197" s="243">
        <f t="shared" si="32"/>
        <v>0</v>
      </c>
      <c r="J197" s="244">
        <f t="shared" si="32"/>
        <v>0</v>
      </c>
      <c r="K197" s="485"/>
      <c r="L197" s="4"/>
      <c r="M197" s="4"/>
      <c r="N197" s="427">
        <v>5</v>
      </c>
      <c r="O197" s="428" t="s">
        <v>215</v>
      </c>
      <c r="P197" s="155"/>
      <c r="Q197" s="167"/>
      <c r="R197" s="155"/>
    </row>
    <row r="198" spans="1:25" s="14" customFormat="1" x14ac:dyDescent="0.2">
      <c r="A198" s="4"/>
      <c r="B198" s="40" t="s">
        <v>32</v>
      </c>
      <c r="C198" s="619" t="str">
        <f t="shared" si="30"/>
        <v>Camp capacity</v>
      </c>
      <c r="D198" s="620"/>
      <c r="E198" s="246" t="s">
        <v>210</v>
      </c>
      <c r="F198" s="243">
        <f>IF(F98&lt;21,F99*45000,(IF(AND(F98&gt;=21,F98&lt;51),F99*65000,(IF(AND(F98&gt;=51,F98&lt;101),F99*95000,(IF(AND(F98&gt;=101,F98&lt;151),F99*140000,(IF(F98&gt;=151,F99*170000,0)))))))))</f>
        <v>0</v>
      </c>
      <c r="G198" s="243">
        <f t="shared" ref="G198:J198" si="33">IF(G98&lt;21,G99*45000,(IF(AND(G98&gt;=21,G98&lt;51),G99*65000,(IF(AND(G98&gt;=51,G98&lt;101),G99*95000,(IF(AND(G98&gt;=101,G98&lt;151),G99*140000,(IF(G98&gt;=151,G99*170000,0)))))))))</f>
        <v>0</v>
      </c>
      <c r="H198" s="243">
        <f t="shared" si="33"/>
        <v>0</v>
      </c>
      <c r="I198" s="243">
        <f t="shared" si="33"/>
        <v>0</v>
      </c>
      <c r="J198" s="244">
        <f t="shared" si="33"/>
        <v>0</v>
      </c>
      <c r="K198" s="485"/>
      <c r="L198" s="4"/>
      <c r="M198" s="4"/>
      <c r="N198" s="4"/>
      <c r="O198" s="4"/>
      <c r="P198" s="4"/>
      <c r="Q198" s="4"/>
      <c r="R198" s="4"/>
      <c r="S198" s="4"/>
      <c r="T198" s="4"/>
      <c r="U198" s="4"/>
      <c r="V198" s="4"/>
      <c r="W198" s="4"/>
      <c r="X198" s="4"/>
      <c r="Y198" s="4"/>
    </row>
    <row r="199" spans="1:25" s="14" customFormat="1" x14ac:dyDescent="0.2">
      <c r="A199" s="4"/>
      <c r="B199" s="40" t="s">
        <v>32</v>
      </c>
      <c r="C199" s="619" t="str">
        <f t="shared" si="30"/>
        <v>Flowlines / pipelines - Above and below ground</v>
      </c>
      <c r="D199" s="620"/>
      <c r="E199" s="246">
        <f>SUMIF('Unit Rates'!J:J,$C199,'Unit Rates'!F:F)</f>
        <v>12.1</v>
      </c>
      <c r="F199" s="243">
        <f t="shared" ref="F199:J200" si="34">$E199*F159</f>
        <v>0</v>
      </c>
      <c r="G199" s="243">
        <f t="shared" si="34"/>
        <v>0</v>
      </c>
      <c r="H199" s="243">
        <f t="shared" si="34"/>
        <v>0</v>
      </c>
      <c r="I199" s="243">
        <f t="shared" si="34"/>
        <v>0</v>
      </c>
      <c r="J199" s="244">
        <f t="shared" si="34"/>
        <v>0</v>
      </c>
      <c r="K199" s="485"/>
      <c r="L199" s="4"/>
      <c r="M199" s="4"/>
      <c r="N199" s="4"/>
      <c r="O199" s="4"/>
      <c r="P199" s="4"/>
      <c r="Q199" s="4"/>
      <c r="R199" s="4"/>
      <c r="S199" s="4"/>
      <c r="T199" s="4"/>
      <c r="U199" s="4"/>
      <c r="V199" s="4"/>
      <c r="W199" s="4"/>
      <c r="X199" s="4"/>
      <c r="Y199" s="4"/>
    </row>
    <row r="200" spans="1:25" s="14" customFormat="1" x14ac:dyDescent="0.2">
      <c r="A200" s="4"/>
      <c r="B200" s="40" t="s">
        <v>32</v>
      </c>
      <c r="C200" s="634" t="str">
        <f t="shared" si="30"/>
        <v>Contaminated soil testing  - Per well pad</v>
      </c>
      <c r="D200" s="625"/>
      <c r="E200" s="246">
        <f>SUMIF('Unit Rates'!J:J,$C200,'Unit Rates'!F:F)</f>
        <v>65500</v>
      </c>
      <c r="F200" s="243">
        <f t="shared" si="34"/>
        <v>0</v>
      </c>
      <c r="G200" s="243">
        <f t="shared" si="34"/>
        <v>0</v>
      </c>
      <c r="H200" s="243">
        <f t="shared" si="34"/>
        <v>0</v>
      </c>
      <c r="I200" s="243">
        <f t="shared" si="34"/>
        <v>0</v>
      </c>
      <c r="J200" s="244">
        <f t="shared" si="34"/>
        <v>0</v>
      </c>
      <c r="K200" s="485"/>
      <c r="L200" s="4"/>
      <c r="M200" s="4"/>
      <c r="N200" s="4"/>
      <c r="O200" s="4"/>
      <c r="P200" s="4"/>
      <c r="Q200" s="4"/>
      <c r="R200" s="4"/>
      <c r="S200" s="4"/>
      <c r="T200" s="4"/>
      <c r="U200" s="4"/>
      <c r="V200" s="4"/>
      <c r="W200" s="4"/>
      <c r="X200" s="4"/>
      <c r="Y200" s="4"/>
    </row>
    <row r="201" spans="1:25" s="14" customFormat="1" x14ac:dyDescent="0.2">
      <c r="A201" s="4"/>
      <c r="B201" s="40" t="s">
        <v>35</v>
      </c>
      <c r="C201" s="619" t="str">
        <f t="shared" si="30"/>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485"/>
      <c r="L201" s="4"/>
      <c r="M201" s="4"/>
      <c r="N201" s="4"/>
      <c r="O201" s="4"/>
      <c r="P201" s="4"/>
      <c r="Q201" s="4"/>
      <c r="R201" s="4"/>
      <c r="S201" s="4"/>
      <c r="T201" s="4"/>
      <c r="U201" s="4"/>
      <c r="V201" s="4"/>
      <c r="W201" s="4"/>
      <c r="X201" s="4"/>
      <c r="Y201" s="4"/>
    </row>
    <row r="202" spans="1:25" s="14" customFormat="1" x14ac:dyDescent="0.2">
      <c r="A202" s="4"/>
      <c r="B202" s="40" t="s">
        <v>35</v>
      </c>
      <c r="C202" s="619" t="str">
        <f t="shared" si="30"/>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485"/>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30"/>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485"/>
      <c r="M203" s="4"/>
      <c r="N203" s="4"/>
      <c r="O203" s="39" t="s">
        <v>216</v>
      </c>
      <c r="P203" s="39" t="s">
        <v>217</v>
      </c>
      <c r="Q203" s="39" t="s">
        <v>218</v>
      </c>
      <c r="R203" s="14" t="s">
        <v>219</v>
      </c>
      <c r="S203" s="14" t="s">
        <v>220</v>
      </c>
    </row>
    <row r="204" spans="1:25" s="14" customFormat="1" x14ac:dyDescent="0.2">
      <c r="A204" s="474"/>
      <c r="B204" s="40" t="s">
        <v>35</v>
      </c>
      <c r="C204" s="619" t="str">
        <f t="shared" si="30"/>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30"/>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485"/>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30"/>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485"/>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30"/>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485"/>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30"/>
        <v>Liners</v>
      </c>
      <c r="D208" s="620"/>
      <c r="E208" s="246">
        <f>SUMIF('Unit Rates'!J:J,$C208,'Unit Rates'!F:F)</f>
        <v>9576</v>
      </c>
      <c r="F208" s="243">
        <f>$E208*F168</f>
        <v>0</v>
      </c>
      <c r="G208" s="243">
        <f>$E208*G168</f>
        <v>0</v>
      </c>
      <c r="H208" s="243">
        <f>$E208*H168</f>
        <v>0</v>
      </c>
      <c r="I208" s="243">
        <f>$E208*I168</f>
        <v>0</v>
      </c>
      <c r="J208" s="244">
        <f>$E208*J168</f>
        <v>0</v>
      </c>
      <c r="K208" s="485"/>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30"/>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454"/>
      <c r="E210" s="485"/>
      <c r="F210" s="485"/>
      <c r="G210" s="485"/>
      <c r="H210" s="485"/>
      <c r="I210" s="485"/>
      <c r="J210" s="485"/>
      <c r="K210" s="485"/>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8mK/V0PcYTczu9W7hvQJFBDtq9FxIO1y9/7SkqvyCJaFVvaH2KnXT0VeUpCnSMBfjLO2cPQbfcYjcn/z8RRGdQ==" saltValue="5Uk5BNfR3QuxQkDiFaAxhA==" spinCount="100000" sheet="1" objects="1" scenarios="1"/>
  <mergeCells count="147">
    <mergeCell ref="C206:D206"/>
    <mergeCell ref="C207:D207"/>
    <mergeCell ref="C208:D208"/>
    <mergeCell ref="C209:D209"/>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B168:D168"/>
    <mergeCell ref="B169:D169"/>
    <mergeCell ref="B172:D172"/>
    <mergeCell ref="C173:D173"/>
    <mergeCell ref="C174:D174"/>
    <mergeCell ref="C175:D175"/>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93:B97"/>
    <mergeCell ref="C93:C97"/>
    <mergeCell ref="K93:K97"/>
    <mergeCell ref="B98:B99"/>
    <mergeCell ref="C98:C99"/>
    <mergeCell ref="K98:K99"/>
    <mergeCell ref="B81:B85"/>
    <mergeCell ref="C81:C85"/>
    <mergeCell ref="K81:K85"/>
    <mergeCell ref="B86:B90"/>
    <mergeCell ref="C86:C90"/>
    <mergeCell ref="K86:K90"/>
    <mergeCell ref="B60:B62"/>
    <mergeCell ref="C60:C62"/>
    <mergeCell ref="K60:K62"/>
    <mergeCell ref="L60:L62"/>
    <mergeCell ref="B63:B65"/>
    <mergeCell ref="C63:C65"/>
    <mergeCell ref="K63:K65"/>
    <mergeCell ref="L63:L65"/>
    <mergeCell ref="B52:B55"/>
    <mergeCell ref="C52:C55"/>
    <mergeCell ref="K52:K55"/>
    <mergeCell ref="L52:L55"/>
    <mergeCell ref="B56:B59"/>
    <mergeCell ref="C56:C59"/>
    <mergeCell ref="K56:K59"/>
    <mergeCell ref="L56:L59"/>
    <mergeCell ref="B46:B48"/>
    <mergeCell ref="C46:C48"/>
    <mergeCell ref="K46:K48"/>
    <mergeCell ref="L46:L48"/>
    <mergeCell ref="B49:B51"/>
    <mergeCell ref="C49:C51"/>
    <mergeCell ref="K49:K51"/>
    <mergeCell ref="L49:L51"/>
    <mergeCell ref="B40:B42"/>
    <mergeCell ref="C40:C42"/>
    <mergeCell ref="K40:K42"/>
    <mergeCell ref="L40:L42"/>
    <mergeCell ref="B43:B45"/>
    <mergeCell ref="C43:C45"/>
    <mergeCell ref="K43:K45"/>
    <mergeCell ref="L43:L45"/>
    <mergeCell ref="B37:B39"/>
    <mergeCell ref="C37:C39"/>
    <mergeCell ref="K37:K39"/>
    <mergeCell ref="L37:L39"/>
    <mergeCell ref="B26:B28"/>
    <mergeCell ref="C26:C28"/>
    <mergeCell ref="K26:K28"/>
    <mergeCell ref="L26:L28"/>
    <mergeCell ref="B31:B33"/>
    <mergeCell ref="C31:C33"/>
    <mergeCell ref="K31:K33"/>
    <mergeCell ref="L31:L33"/>
    <mergeCell ref="B3:G3"/>
    <mergeCell ref="B4:G16"/>
    <mergeCell ref="I11:L11"/>
    <mergeCell ref="I12:L15"/>
    <mergeCell ref="B19:L20"/>
    <mergeCell ref="B21:L22"/>
    <mergeCell ref="B34:B36"/>
    <mergeCell ref="C34:C36"/>
    <mergeCell ref="K34:K36"/>
    <mergeCell ref="L34:L36"/>
    <mergeCell ref="I5:K5"/>
    <mergeCell ref="I6:K6"/>
    <mergeCell ref="I7:K7"/>
    <mergeCell ref="I8:K8"/>
    <mergeCell ref="I9:K9"/>
  </mergeCells>
  <dataValidations count="2">
    <dataValidation type="list" allowBlank="1" showInputMessage="1" showErrorMessage="1" sqref="L7">
      <formula1>" ,HydrEra Facility,Westrex Facility"</formula1>
    </dataValidation>
    <dataValidation type="list" allowBlank="1" showInputMessage="1" showErrorMessage="1" sqref="F117:J117 F112:J112 F127:J127 F122:J122">
      <formula1>"0,1,2,3,4,5"</formula1>
    </dataValidation>
  </dataValidations>
  <pageMargins left="0.25" right="0.25" top="0.75" bottom="0.75" header="0.3" footer="0.3"/>
  <pageSetup paperSize="8"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S225"/>
  <sheetViews>
    <sheetView zoomScaleNormal="100" workbookViewId="0">
      <selection activeCell="C1" sqref="C1"/>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485"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Title_04</v>
      </c>
      <c r="C1" s="140"/>
      <c r="K1" s="142"/>
      <c r="L1" s="140"/>
      <c r="M1" s="140"/>
      <c r="N1" s="140"/>
      <c r="O1" s="140"/>
      <c r="P1" s="140"/>
      <c r="Q1" s="140"/>
    </row>
    <row r="2" spans="1:45" x14ac:dyDescent="0.2">
      <c r="B2" s="5"/>
      <c r="J2" s="14"/>
    </row>
    <row r="3" spans="1:45" s="78" customFormat="1" ht="18" x14ac:dyDescent="0.25">
      <c r="A3" s="77"/>
      <c r="B3" s="660" t="s">
        <v>7</v>
      </c>
      <c r="C3" s="661"/>
      <c r="D3" s="661"/>
      <c r="E3" s="661"/>
      <c r="F3" s="661"/>
      <c r="G3" s="661"/>
      <c r="H3" s="14"/>
      <c r="I3" s="207" t="str">
        <f ca="1">"Table "&amp;$N$9&amp;".1 General Title details"</f>
        <v>Table 4.1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4</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485"/>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4.2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486"/>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492" t="s">
        <v>52</v>
      </c>
      <c r="C24" s="493" t="s">
        <v>54</v>
      </c>
      <c r="D24" s="37" t="s">
        <v>55</v>
      </c>
      <c r="E24" s="37"/>
      <c r="F24" s="23" t="s">
        <v>17</v>
      </c>
      <c r="G24" s="23" t="s">
        <v>150</v>
      </c>
      <c r="H24" s="23" t="s">
        <v>19</v>
      </c>
      <c r="I24" s="23" t="s">
        <v>20</v>
      </c>
      <c r="J24" s="23" t="s">
        <v>21</v>
      </c>
      <c r="K24" s="493" t="s">
        <v>2</v>
      </c>
      <c r="L24" s="494" t="s">
        <v>151</v>
      </c>
      <c r="M24" s="155"/>
      <c r="N24" s="36"/>
      <c r="O24" s="36"/>
      <c r="P24" s="36"/>
      <c r="Q24" s="36"/>
    </row>
    <row r="25" spans="1:45" s="156" customFormat="1" ht="18.75" thickBot="1" x14ac:dyDescent="0.3">
      <c r="A25" s="77"/>
      <c r="B25" s="211" t="str">
        <f ca="1">"Table "&amp;$N$9&amp;".2.1 Rehabilitation activities"</f>
        <v>Table 4.2.1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O41" si="0">IF(B26="",N25,B26)</f>
        <v>Seismic lines</v>
      </c>
      <c r="O26" s="213" t="str">
        <f>IF(C26="",O8,C26)</f>
        <v>-</v>
      </c>
      <c r="P26" s="213" t="str">
        <f t="shared" ref="P26:P67" si="1">IF(Q26=1,IF(O26&lt;&gt;"-",N26&amp;" - "&amp;O26,N26),"")</f>
        <v/>
      </c>
      <c r="Q26" s="214"/>
      <c r="R26" s="215" t="str">
        <f t="shared" ref="R26:R67"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si="0"/>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0"/>
        <v>-</v>
      </c>
      <c r="P28" s="213" t="str">
        <f t="shared" si="1"/>
        <v>Seismic lines</v>
      </c>
      <c r="Q28" s="214">
        <v>1</v>
      </c>
      <c r="R28" s="215" t="str">
        <f t="shared" si="2"/>
        <v>ha</v>
      </c>
    </row>
    <row r="29" spans="1:45" s="14" customFormat="1" ht="28.5" outlineLevel="1" x14ac:dyDescent="0.2">
      <c r="A29" s="4"/>
      <c r="B29" s="451" t="s">
        <v>277</v>
      </c>
      <c r="C29" s="488"/>
      <c r="D29" s="49" t="s">
        <v>103</v>
      </c>
      <c r="E29" s="50" t="s">
        <v>136</v>
      </c>
      <c r="F29" s="222">
        <v>0</v>
      </c>
      <c r="G29" s="222">
        <v>0</v>
      </c>
      <c r="H29" s="222">
        <v>0</v>
      </c>
      <c r="I29" s="222">
        <v>0</v>
      </c>
      <c r="J29" s="222">
        <v>0</v>
      </c>
      <c r="K29" s="473" t="s">
        <v>301</v>
      </c>
      <c r="L29" s="489"/>
      <c r="M29" s="4"/>
      <c r="N29" s="216" t="str">
        <f t="shared" si="0"/>
        <v>Flowline right of ways - By track</v>
      </c>
      <c r="O29" s="213" t="str">
        <f t="shared" si="0"/>
        <v>-</v>
      </c>
      <c r="P29" s="213" t="str">
        <f t="shared" si="1"/>
        <v>Flowline right of ways - By track</v>
      </c>
      <c r="Q29" s="214">
        <v>1</v>
      </c>
      <c r="R29" s="215" t="str">
        <f t="shared" si="2"/>
        <v>km</v>
      </c>
    </row>
    <row r="30" spans="1:45" s="14" customFormat="1" ht="28.5" outlineLevel="1" x14ac:dyDescent="0.2">
      <c r="A30" s="4"/>
      <c r="B30" s="451" t="s">
        <v>278</v>
      </c>
      <c r="C30" s="488"/>
      <c r="D30" s="49" t="s">
        <v>103</v>
      </c>
      <c r="E30" s="50" t="s">
        <v>136</v>
      </c>
      <c r="F30" s="222">
        <v>0</v>
      </c>
      <c r="G30" s="222">
        <v>0</v>
      </c>
      <c r="H30" s="222">
        <v>0</v>
      </c>
      <c r="I30" s="222">
        <v>0</v>
      </c>
      <c r="J30" s="222">
        <v>0</v>
      </c>
      <c r="K30" s="473" t="s">
        <v>301</v>
      </c>
      <c r="L30" s="489"/>
      <c r="M30" s="4"/>
      <c r="N30" s="216" t="str">
        <f t="shared" si="0"/>
        <v>Flowline right of ways - Not by track</v>
      </c>
      <c r="O30" s="213" t="str">
        <f t="shared" si="0"/>
        <v>-</v>
      </c>
      <c r="P30" s="213" t="str">
        <f t="shared" si="1"/>
        <v>Flowline right of ways - Not by track</v>
      </c>
      <c r="Q30" s="214">
        <v>1</v>
      </c>
      <c r="R30" s="215" t="str">
        <f t="shared" si="2"/>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0"/>
        <v>Access track (existing)</v>
      </c>
      <c r="O31" s="213" t="str">
        <f t="shared" si="0"/>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0"/>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0"/>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0"/>
        <v>No seeding</v>
      </c>
      <c r="P34" s="213" t="str">
        <f t="shared" si="1"/>
        <v/>
      </c>
      <c r="Q34" s="214"/>
      <c r="R34" s="215" t="str">
        <f t="shared" si="2"/>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0"/>
        <v>No seeding</v>
      </c>
      <c r="P35" s="213" t="str">
        <f t="shared" si="1"/>
        <v/>
      </c>
      <c r="Q35" s="214"/>
      <c r="R35" s="215" t="str">
        <f t="shared" si="2"/>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0"/>
        <v>No seeding</v>
      </c>
      <c r="P36" s="213" t="str">
        <f t="shared" si="1"/>
        <v>Access track (new) - No seeding</v>
      </c>
      <c r="Q36" s="214">
        <v>1</v>
      </c>
      <c r="R36" s="215" t="str">
        <f t="shared" si="2"/>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0"/>
        <v>With seeding</v>
      </c>
      <c r="P37" s="213" t="str">
        <f t="shared" si="1"/>
        <v/>
      </c>
      <c r="Q37" s="214"/>
      <c r="R37" s="215" t="str">
        <f t="shared" si="2"/>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0"/>
        <v>With seeding</v>
      </c>
      <c r="P38" s="213" t="str">
        <f t="shared" si="1"/>
        <v/>
      </c>
      <c r="Q38" s="214"/>
      <c r="R38" s="215" t="str">
        <f t="shared" si="2"/>
        <v>m</v>
      </c>
    </row>
    <row r="39" spans="1:18" s="14" customFormat="1" outlineLevel="1" x14ac:dyDescent="0.2">
      <c r="A39" s="4"/>
      <c r="B39" s="653"/>
      <c r="C39" s="641"/>
      <c r="D39" s="49" t="s">
        <v>155</v>
      </c>
      <c r="E39" s="50" t="s">
        <v>64</v>
      </c>
      <c r="F39" s="221">
        <f t="shared" ref="F39:J39" si="3">((F37*1000)*F38)/10000</f>
        <v>0</v>
      </c>
      <c r="G39" s="221">
        <f t="shared" si="3"/>
        <v>0</v>
      </c>
      <c r="H39" s="221">
        <f t="shared" si="3"/>
        <v>0</v>
      </c>
      <c r="I39" s="221">
        <f t="shared" si="3"/>
        <v>0</v>
      </c>
      <c r="J39" s="221">
        <f t="shared" si="3"/>
        <v>0</v>
      </c>
      <c r="K39" s="611"/>
      <c r="L39" s="610"/>
      <c r="M39" s="4"/>
      <c r="N39" s="216" t="str">
        <f t="shared" si="0"/>
        <v>Access track (new)</v>
      </c>
      <c r="O39" s="213" t="str">
        <f t="shared" si="0"/>
        <v>With seeding</v>
      </c>
      <c r="P39" s="213" t="str">
        <f t="shared" si="1"/>
        <v>Access track (new) - With seeding</v>
      </c>
      <c r="Q39" s="214">
        <v>1</v>
      </c>
      <c r="R39" s="215" t="str">
        <f t="shared" si="2"/>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si="0"/>
        <v>With seeding, with ripping</v>
      </c>
      <c r="P40" s="213" t="str">
        <f t="shared" si="1"/>
        <v/>
      </c>
      <c r="Q40" s="214"/>
      <c r="R40" s="215" t="str">
        <f t="shared" si="2"/>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0"/>
        <v>With seeding, with ripping</v>
      </c>
      <c r="P41" s="213" t="str">
        <f t="shared" si="1"/>
        <v/>
      </c>
      <c r="Q41" s="214"/>
      <c r="R41" s="215" t="str">
        <f t="shared" si="2"/>
        <v>m</v>
      </c>
    </row>
    <row r="42" spans="1:18" s="14" customFormat="1" outlineLevel="1" x14ac:dyDescent="0.2">
      <c r="A42" s="4"/>
      <c r="B42" s="645"/>
      <c r="C42" s="648"/>
      <c r="D42" s="49" t="s">
        <v>155</v>
      </c>
      <c r="E42" s="50" t="s">
        <v>64</v>
      </c>
      <c r="F42" s="221">
        <f>(F40*F41)/10^4</f>
        <v>0</v>
      </c>
      <c r="G42" s="221">
        <f t="shared" ref="G42:J42" si="4">(G40*G41)/10^4</f>
        <v>0</v>
      </c>
      <c r="H42" s="221">
        <f t="shared" si="4"/>
        <v>0</v>
      </c>
      <c r="I42" s="221">
        <f t="shared" si="4"/>
        <v>0</v>
      </c>
      <c r="J42" s="221">
        <f t="shared" si="4"/>
        <v>0</v>
      </c>
      <c r="K42" s="617"/>
      <c r="L42" s="614"/>
      <c r="M42" s="4"/>
      <c r="N42" s="216" t="str">
        <f t="shared" ref="N42:O57" si="5">IF(B42="",N41,B42)</f>
        <v>Laydown areas</v>
      </c>
      <c r="O42" s="213" t="str">
        <f t="shared" si="5"/>
        <v>With seeding, with ripping</v>
      </c>
      <c r="P42" s="213" t="str">
        <f t="shared" si="1"/>
        <v>Laydown areas - With seeding, with ripping</v>
      </c>
      <c r="Q42" s="214">
        <v>1</v>
      </c>
      <c r="R42" s="215" t="str">
        <f t="shared" si="2"/>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5"/>
        <v>Laydown areas</v>
      </c>
      <c r="O43" s="213" t="str">
        <f t="shared" si="5"/>
        <v>With seeding, no ripping</v>
      </c>
      <c r="P43" s="213" t="str">
        <f t="shared" si="1"/>
        <v/>
      </c>
      <c r="Q43" s="214"/>
      <c r="R43" s="215" t="str">
        <f t="shared" si="2"/>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5"/>
        <v>Laydown areas</v>
      </c>
      <c r="O44" s="213" t="str">
        <f t="shared" si="5"/>
        <v>With seeding, no ripping</v>
      </c>
      <c r="P44" s="213" t="str">
        <f t="shared" si="1"/>
        <v/>
      </c>
      <c r="Q44" s="214"/>
      <c r="R44" s="215" t="str">
        <f t="shared" si="2"/>
        <v>m</v>
      </c>
    </row>
    <row r="45" spans="1:18" s="14" customFormat="1" outlineLevel="1" x14ac:dyDescent="0.2">
      <c r="A45" s="4"/>
      <c r="B45" s="645"/>
      <c r="C45" s="648"/>
      <c r="D45" s="49" t="s">
        <v>155</v>
      </c>
      <c r="E45" s="50" t="s">
        <v>64</v>
      </c>
      <c r="F45" s="221">
        <f>(F43*F44)/10^4</f>
        <v>0</v>
      </c>
      <c r="G45" s="221">
        <f t="shared" ref="G45:J45" si="6">(G43*G44)/10^4</f>
        <v>0</v>
      </c>
      <c r="H45" s="221">
        <f t="shared" si="6"/>
        <v>0</v>
      </c>
      <c r="I45" s="221">
        <f t="shared" si="6"/>
        <v>0</v>
      </c>
      <c r="J45" s="221">
        <f t="shared" si="6"/>
        <v>0</v>
      </c>
      <c r="K45" s="617"/>
      <c r="L45" s="614"/>
      <c r="M45" s="4"/>
      <c r="N45" s="216" t="str">
        <f t="shared" si="5"/>
        <v>Laydown areas</v>
      </c>
      <c r="O45" s="213" t="str">
        <f t="shared" si="5"/>
        <v>With seeding, no ripping</v>
      </c>
      <c r="P45" s="213" t="str">
        <f t="shared" si="1"/>
        <v>Laydown areas - With seeding, no ripping</v>
      </c>
      <c r="Q45" s="214">
        <v>1</v>
      </c>
      <c r="R45" s="215" t="str">
        <f t="shared" si="2"/>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5"/>
        <v>Laydown areas</v>
      </c>
      <c r="O46" s="213" t="str">
        <f t="shared" si="5"/>
        <v>No seeding, with ripping</v>
      </c>
      <c r="P46" s="213" t="str">
        <f t="shared" si="1"/>
        <v/>
      </c>
      <c r="Q46" s="214"/>
      <c r="R46" s="215" t="str">
        <f t="shared" si="2"/>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5"/>
        <v>Laydown areas</v>
      </c>
      <c r="O47" s="213" t="str">
        <f t="shared" si="5"/>
        <v>No seeding, with ripping</v>
      </c>
      <c r="P47" s="213" t="str">
        <f t="shared" si="1"/>
        <v/>
      </c>
      <c r="Q47" s="214"/>
      <c r="R47" s="215" t="str">
        <f t="shared" si="2"/>
        <v>m</v>
      </c>
    </row>
    <row r="48" spans="1:18" s="14" customFormat="1" outlineLevel="1" x14ac:dyDescent="0.2">
      <c r="A48" s="4"/>
      <c r="B48" s="645"/>
      <c r="C48" s="648"/>
      <c r="D48" s="49" t="s">
        <v>155</v>
      </c>
      <c r="E48" s="50" t="s">
        <v>64</v>
      </c>
      <c r="F48" s="221">
        <f>(F46*F47)/10^4</f>
        <v>0</v>
      </c>
      <c r="G48" s="221">
        <f t="shared" ref="G48:J48" si="7">(G46*G47)/10^4</f>
        <v>0</v>
      </c>
      <c r="H48" s="221">
        <f t="shared" si="7"/>
        <v>0</v>
      </c>
      <c r="I48" s="221">
        <f t="shared" si="7"/>
        <v>0</v>
      </c>
      <c r="J48" s="221">
        <f t="shared" si="7"/>
        <v>0</v>
      </c>
      <c r="K48" s="617"/>
      <c r="L48" s="614"/>
      <c r="M48" s="4"/>
      <c r="N48" s="216" t="str">
        <f t="shared" si="5"/>
        <v>Laydown areas</v>
      </c>
      <c r="O48" s="213" t="str">
        <f t="shared" si="5"/>
        <v>No seeding, with ripping</v>
      </c>
      <c r="P48" s="213" t="str">
        <f t="shared" si="1"/>
        <v>Laydown areas - No seeding, with ripping</v>
      </c>
      <c r="Q48" s="214">
        <v>1</v>
      </c>
      <c r="R48" s="215" t="str">
        <f t="shared" si="2"/>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5"/>
        <v>Laydown areas</v>
      </c>
      <c r="O49" s="213" t="str">
        <f t="shared" si="5"/>
        <v>No seeding, no ripping</v>
      </c>
      <c r="P49" s="213" t="str">
        <f t="shared" si="1"/>
        <v/>
      </c>
      <c r="Q49" s="214"/>
      <c r="R49" s="215" t="str">
        <f t="shared" si="2"/>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5"/>
        <v>Laydown areas</v>
      </c>
      <c r="O50" s="213" t="str">
        <f t="shared" si="5"/>
        <v>No seeding, no ripping</v>
      </c>
      <c r="P50" s="213" t="str">
        <f t="shared" si="1"/>
        <v/>
      </c>
      <c r="Q50" s="214"/>
      <c r="R50" s="215" t="str">
        <f t="shared" si="2"/>
        <v>m</v>
      </c>
    </row>
    <row r="51" spans="1:18" s="14" customFormat="1" outlineLevel="1" x14ac:dyDescent="0.2">
      <c r="A51" s="4"/>
      <c r="B51" s="645"/>
      <c r="C51" s="648"/>
      <c r="D51" s="49" t="s">
        <v>155</v>
      </c>
      <c r="E51" s="50" t="s">
        <v>64</v>
      </c>
      <c r="F51" s="221">
        <f>(F49*F50)/10^4</f>
        <v>0</v>
      </c>
      <c r="G51" s="221">
        <f t="shared" ref="G51:J51" si="8">(G49*G50)/10^4</f>
        <v>0</v>
      </c>
      <c r="H51" s="221">
        <f t="shared" si="8"/>
        <v>0</v>
      </c>
      <c r="I51" s="221">
        <f t="shared" si="8"/>
        <v>0</v>
      </c>
      <c r="J51" s="221">
        <f t="shared" si="8"/>
        <v>0</v>
      </c>
      <c r="K51" s="617"/>
      <c r="L51" s="614"/>
      <c r="M51" s="4"/>
      <c r="N51" s="216" t="str">
        <f t="shared" si="5"/>
        <v>Laydown areas</v>
      </c>
      <c r="O51" s="213" t="str">
        <f t="shared" si="5"/>
        <v>No seeding, no ripping</v>
      </c>
      <c r="P51" s="213" t="str">
        <f t="shared" si="1"/>
        <v>Laydown areas - No seeding, no ripping</v>
      </c>
      <c r="Q51" s="214">
        <v>1</v>
      </c>
      <c r="R51" s="215" t="str">
        <f t="shared" si="2"/>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5"/>
        <v>Gravel pits</v>
      </c>
      <c r="O52" s="213" t="str">
        <f t="shared" si="5"/>
        <v>-</v>
      </c>
      <c r="P52" s="213" t="str">
        <f t="shared" si="1"/>
        <v/>
      </c>
      <c r="Q52" s="214"/>
      <c r="R52" s="215" t="str">
        <f t="shared" si="2"/>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5"/>
        <v>Gravel pits</v>
      </c>
      <c r="O53" s="213" t="str">
        <f t="shared" si="5"/>
        <v>-</v>
      </c>
      <c r="P53" s="213" t="str">
        <f t="shared" si="1"/>
        <v/>
      </c>
      <c r="Q53" s="214"/>
      <c r="R53" s="215" t="str">
        <f t="shared" si="2"/>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5"/>
        <v>Gravel pits</v>
      </c>
      <c r="O54" s="213" t="str">
        <f t="shared" si="5"/>
        <v>-</v>
      </c>
      <c r="P54" s="213" t="str">
        <f t="shared" si="1"/>
        <v/>
      </c>
      <c r="Q54" s="214"/>
      <c r="R54" s="215" t="str">
        <f t="shared" si="2"/>
        <v>m</v>
      </c>
    </row>
    <row r="55" spans="1:18" s="14" customFormat="1" outlineLevel="1" x14ac:dyDescent="0.2">
      <c r="A55" s="4"/>
      <c r="B55" s="653"/>
      <c r="C55" s="641"/>
      <c r="D55" s="49" t="s">
        <v>73</v>
      </c>
      <c r="E55" s="50" t="s">
        <v>64</v>
      </c>
      <c r="F55" s="221">
        <f>(F53*F54*F52)/10^4</f>
        <v>0</v>
      </c>
      <c r="G55" s="221">
        <f t="shared" ref="G55:J55" si="9">(G53*G54*G52)/10^4</f>
        <v>0</v>
      </c>
      <c r="H55" s="221">
        <f t="shared" si="9"/>
        <v>0</v>
      </c>
      <c r="I55" s="221">
        <f t="shared" si="9"/>
        <v>0</v>
      </c>
      <c r="J55" s="221">
        <f t="shared" si="9"/>
        <v>0</v>
      </c>
      <c r="K55" s="611"/>
      <c r="L55" s="610"/>
      <c r="M55" s="4"/>
      <c r="N55" s="216" t="str">
        <f t="shared" si="5"/>
        <v>Gravel pits</v>
      </c>
      <c r="O55" s="213" t="str">
        <f t="shared" si="5"/>
        <v>-</v>
      </c>
      <c r="P55" s="213" t="str">
        <f t="shared" si="1"/>
        <v>Gravel pits</v>
      </c>
      <c r="Q55" s="214">
        <v>1</v>
      </c>
      <c r="R55" s="215" t="str">
        <f t="shared" si="2"/>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5"/>
        <v>Well pad</v>
      </c>
      <c r="O56" s="213" t="str">
        <f t="shared" si="5"/>
        <v>-</v>
      </c>
      <c r="P56" s="213" t="str">
        <f t="shared" si="1"/>
        <v/>
      </c>
      <c r="Q56" s="214"/>
      <c r="R56" s="215" t="str">
        <f t="shared" si="2"/>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5"/>
        <v>Well pad</v>
      </c>
      <c r="O57" s="213" t="str">
        <f t="shared" si="5"/>
        <v>-</v>
      </c>
      <c r="P57" s="213" t="str">
        <f t="shared" si="1"/>
        <v/>
      </c>
      <c r="Q57" s="214"/>
      <c r="R57" s="215" t="str">
        <f t="shared" si="2"/>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ref="N58:O73" si="10">IF(B58="",N57,B58)</f>
        <v>Well pad</v>
      </c>
      <c r="O58" s="213" t="str">
        <f t="shared" si="10"/>
        <v>-</v>
      </c>
      <c r="P58" s="213" t="str">
        <f t="shared" si="1"/>
        <v/>
      </c>
      <c r="Q58" s="214"/>
      <c r="R58" s="215" t="str">
        <f t="shared" si="2"/>
        <v>m</v>
      </c>
    </row>
    <row r="59" spans="1:18" s="14" customFormat="1" outlineLevel="1" x14ac:dyDescent="0.2">
      <c r="A59" s="4"/>
      <c r="B59" s="653"/>
      <c r="C59" s="641"/>
      <c r="D59" s="49" t="s">
        <v>73</v>
      </c>
      <c r="E59" s="50" t="s">
        <v>64</v>
      </c>
      <c r="F59" s="221">
        <f>(F57*F58*F56)/10^4</f>
        <v>0</v>
      </c>
      <c r="G59" s="221">
        <f t="shared" ref="G59:J59" si="11">(G57*G58*G56)/10^4</f>
        <v>0</v>
      </c>
      <c r="H59" s="221">
        <f t="shared" si="11"/>
        <v>0</v>
      </c>
      <c r="I59" s="221">
        <f t="shared" si="11"/>
        <v>0</v>
      </c>
      <c r="J59" s="221">
        <f t="shared" si="11"/>
        <v>0</v>
      </c>
      <c r="K59" s="611"/>
      <c r="L59" s="610"/>
      <c r="M59" s="4"/>
      <c r="N59" s="216" t="str">
        <f t="shared" si="10"/>
        <v>Well pad</v>
      </c>
      <c r="O59" s="213" t="str">
        <f>IF(C59="",O58,C59)</f>
        <v>-</v>
      </c>
      <c r="P59" s="213" t="str">
        <f t="shared" si="1"/>
        <v>Well pad</v>
      </c>
      <c r="Q59" s="214">
        <v>1</v>
      </c>
      <c r="R59" s="215" t="str">
        <f t="shared" si="2"/>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0"/>
        <v>Camp</v>
      </c>
      <c r="O60" s="213" t="str">
        <f t="shared" si="10"/>
        <v>With seeding</v>
      </c>
      <c r="P60" s="213" t="str">
        <f t="shared" si="1"/>
        <v/>
      </c>
      <c r="Q60" s="214"/>
      <c r="R60" s="215" t="str">
        <f t="shared" si="2"/>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0"/>
        <v>Camp</v>
      </c>
      <c r="O61" s="213" t="str">
        <f t="shared" si="10"/>
        <v>With seeding</v>
      </c>
      <c r="P61" s="213" t="str">
        <f t="shared" si="1"/>
        <v/>
      </c>
      <c r="Q61" s="214"/>
      <c r="R61" s="215" t="str">
        <f t="shared" si="2"/>
        <v>m</v>
      </c>
    </row>
    <row r="62" spans="1:18" s="14" customFormat="1" outlineLevel="1" x14ac:dyDescent="0.2">
      <c r="A62" s="4"/>
      <c r="B62" s="642"/>
      <c r="C62" s="651"/>
      <c r="D62" s="49" t="s">
        <v>73</v>
      </c>
      <c r="E62" s="50" t="s">
        <v>64</v>
      </c>
      <c r="F62" s="221">
        <f>(F60*F61)/10^4</f>
        <v>0</v>
      </c>
      <c r="G62" s="221">
        <f t="shared" ref="G62:J62" si="12">(G60*G61)/10^4</f>
        <v>0</v>
      </c>
      <c r="H62" s="221">
        <f t="shared" si="12"/>
        <v>0</v>
      </c>
      <c r="I62" s="221">
        <f t="shared" si="12"/>
        <v>0</v>
      </c>
      <c r="J62" s="221">
        <f t="shared" si="12"/>
        <v>0</v>
      </c>
      <c r="K62" s="618"/>
      <c r="L62" s="610"/>
      <c r="M62" s="4"/>
      <c r="N62" s="216" t="str">
        <f t="shared" si="10"/>
        <v>Camp</v>
      </c>
      <c r="O62" s="213" t="str">
        <f t="shared" si="10"/>
        <v>With seeding</v>
      </c>
      <c r="P62" s="213" t="str">
        <f t="shared" si="1"/>
        <v>Camp - With seeding</v>
      </c>
      <c r="Q62" s="214">
        <v>1</v>
      </c>
      <c r="R62" s="215" t="str">
        <f t="shared" si="2"/>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0"/>
        <v>Camp</v>
      </c>
      <c r="O63" s="213" t="str">
        <f t="shared" si="10"/>
        <v>No seeding</v>
      </c>
      <c r="P63" s="213" t="str">
        <f t="shared" si="1"/>
        <v/>
      </c>
      <c r="Q63" s="214"/>
      <c r="R63" s="215" t="str">
        <f t="shared" si="2"/>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0"/>
        <v>Camp</v>
      </c>
      <c r="O64" s="213" t="str">
        <f t="shared" si="10"/>
        <v>No seeding</v>
      </c>
      <c r="P64" s="213" t="str">
        <f t="shared" si="1"/>
        <v/>
      </c>
      <c r="Q64" s="214"/>
      <c r="R64" s="215" t="str">
        <f t="shared" si="2"/>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0"/>
        <v>Camp</v>
      </c>
      <c r="O65" s="213" t="str">
        <f t="shared" si="10"/>
        <v>No seeding</v>
      </c>
      <c r="P65" s="213" t="str">
        <f t="shared" si="1"/>
        <v>Camp - No seeding</v>
      </c>
      <c r="Q65" s="214">
        <v>1</v>
      </c>
      <c r="R65" s="215" t="str">
        <f t="shared" si="2"/>
        <v>ha</v>
      </c>
    </row>
    <row r="66" spans="1:24" s="14" customFormat="1" ht="28.5" outlineLevel="1" x14ac:dyDescent="0.2">
      <c r="A66" s="157"/>
      <c r="B66" s="410" t="s">
        <v>76</v>
      </c>
      <c r="C66" s="411" t="s">
        <v>234</v>
      </c>
      <c r="D66" s="49" t="s">
        <v>73</v>
      </c>
      <c r="E66" s="50" t="s">
        <v>64</v>
      </c>
      <c r="F66" s="51">
        <v>0</v>
      </c>
      <c r="G66" s="51">
        <v>0</v>
      </c>
      <c r="H66" s="51">
        <v>0</v>
      </c>
      <c r="I66" s="51">
        <v>0</v>
      </c>
      <c r="J66" s="51">
        <v>0</v>
      </c>
      <c r="K66" s="487" t="s">
        <v>159</v>
      </c>
      <c r="L66" s="57"/>
      <c r="M66" s="157"/>
      <c r="N66" s="216" t="str">
        <f t="shared" si="10"/>
        <v>Miscellaneous clearing</v>
      </c>
      <c r="O66" s="213" t="str">
        <f t="shared" si="10"/>
        <v>With seeding</v>
      </c>
      <c r="P66" s="213" t="str">
        <f t="shared" si="1"/>
        <v>Miscellaneous clearing - With seeding</v>
      </c>
      <c r="Q66" s="214">
        <v>1</v>
      </c>
      <c r="R66" s="215" t="str">
        <f t="shared" si="2"/>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si="10"/>
        <v>Miscellaneous clearing</v>
      </c>
      <c r="O67" s="218" t="str">
        <f t="shared" si="10"/>
        <v>No seeding</v>
      </c>
      <c r="P67" s="218" t="str">
        <f t="shared" si="1"/>
        <v>Miscellaneous clearing - No seeding</v>
      </c>
      <c r="Q67" s="219">
        <v>1</v>
      </c>
      <c r="R67" s="220" t="str">
        <f t="shared" si="2"/>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4.2.2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P74" si="13">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si="13"/>
        <v/>
      </c>
      <c r="Q71" s="230"/>
      <c r="R71" s="231" t="str">
        <f>E71</f>
        <v>#</v>
      </c>
    </row>
    <row r="72" spans="1:24" s="159" customFormat="1" ht="28.5" outlineLevel="1" x14ac:dyDescent="0.2">
      <c r="A72" s="4"/>
      <c r="B72" s="496" t="s">
        <v>286</v>
      </c>
      <c r="C72" s="495" t="s">
        <v>70</v>
      </c>
      <c r="D72" s="64" t="s">
        <v>85</v>
      </c>
      <c r="E72" s="65" t="s">
        <v>82</v>
      </c>
      <c r="F72" s="385">
        <v>0</v>
      </c>
      <c r="G72" s="385">
        <v>0</v>
      </c>
      <c r="H72" s="385">
        <v>0</v>
      </c>
      <c r="I72" s="385">
        <v>0</v>
      </c>
      <c r="J72" s="385">
        <v>0</v>
      </c>
      <c r="K72" s="110" t="s">
        <v>161</v>
      </c>
      <c r="L72" s="57"/>
      <c r="M72" s="4"/>
      <c r="N72" s="212" t="str">
        <f t="shared" si="10"/>
        <v>Groundwater bore ≥ 70m TVD (retained)</v>
      </c>
      <c r="O72" s="419" t="str">
        <f t="shared" si="10"/>
        <v>-</v>
      </c>
      <c r="P72" s="419" t="str">
        <f t="shared" si="13"/>
        <v/>
      </c>
      <c r="Q72" s="420"/>
      <c r="R72" s="215" t="str">
        <f>E72</f>
        <v>#</v>
      </c>
    </row>
    <row r="73" spans="1:24" s="159" customFormat="1" ht="71.25" outlineLevel="1" x14ac:dyDescent="0.2">
      <c r="A73" s="4"/>
      <c r="B73" s="496" t="s">
        <v>285</v>
      </c>
      <c r="C73" s="495" t="s">
        <v>70</v>
      </c>
      <c r="D73" s="194" t="s">
        <v>162</v>
      </c>
      <c r="E73" s="67" t="s">
        <v>64</v>
      </c>
      <c r="F73" s="51">
        <v>0</v>
      </c>
      <c r="G73" s="51">
        <v>0</v>
      </c>
      <c r="H73" s="51">
        <v>0</v>
      </c>
      <c r="I73" s="51">
        <v>0</v>
      </c>
      <c r="J73" s="51">
        <v>0</v>
      </c>
      <c r="K73" s="110" t="s">
        <v>163</v>
      </c>
      <c r="L73" s="57"/>
      <c r="M73" s="4"/>
      <c r="N73" s="212" t="str">
        <f t="shared" si="10"/>
        <v>Access track (new or existing retained)</v>
      </c>
      <c r="O73" s="419" t="str">
        <f t="shared" si="10"/>
        <v>-</v>
      </c>
      <c r="P73" s="419" t="str">
        <f t="shared" si="13"/>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ref="N74:O74" si="14">IF(B74="",N73,B74)</f>
        <v>Turkey's nest (retained)</v>
      </c>
      <c r="O74" s="218" t="str">
        <f t="shared" si="14"/>
        <v>-</v>
      </c>
      <c r="P74" s="218" t="str">
        <f t="shared" si="13"/>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4.2.3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O92" si="15">IF(B77="",N76,B77)</f>
        <v>Fencing</v>
      </c>
      <c r="O77" s="229" t="str">
        <f t="shared" si="15"/>
        <v>-</v>
      </c>
      <c r="P77" s="229" t="str">
        <f>IF(Q77=1,IF(O77&lt;&gt;"-",N77&amp;" - "&amp;O77,N77),"")</f>
        <v>Fencing</v>
      </c>
      <c r="Q77" s="232">
        <v>1</v>
      </c>
      <c r="R77" s="231" t="str">
        <f t="shared" ref="R77:R101" si="16">E77</f>
        <v>m</v>
      </c>
    </row>
    <row r="78" spans="1:24" s="14" customFormat="1" ht="28.5" outlineLevel="1" x14ac:dyDescent="0.2">
      <c r="A78" s="4"/>
      <c r="B78" s="496" t="s">
        <v>80</v>
      </c>
      <c r="C78" s="495" t="s">
        <v>70</v>
      </c>
      <c r="D78" s="64" t="s">
        <v>85</v>
      </c>
      <c r="E78" s="65" t="s">
        <v>82</v>
      </c>
      <c r="F78" s="51">
        <v>0</v>
      </c>
      <c r="G78" s="51">
        <v>0</v>
      </c>
      <c r="H78" s="51">
        <v>0</v>
      </c>
      <c r="I78" s="51">
        <v>0</v>
      </c>
      <c r="J78" s="51">
        <v>0</v>
      </c>
      <c r="K78" s="110" t="s">
        <v>165</v>
      </c>
      <c r="L78" s="57"/>
      <c r="M78" s="4"/>
      <c r="N78" s="212" t="str">
        <f t="shared" si="15"/>
        <v>Groundwater bore &lt; 70m TVD</v>
      </c>
      <c r="O78" s="213" t="str">
        <f t="shared" si="15"/>
        <v>-</v>
      </c>
      <c r="P78" s="213" t="str">
        <f t="shared" ref="P78:P129" si="17">IF(Q78=1,IF(O78&lt;&gt;"-",N78&amp;" - "&amp;O78,N78),"")</f>
        <v>Groundwater bore &lt; 70m TVD</v>
      </c>
      <c r="Q78" s="233">
        <v>1</v>
      </c>
      <c r="R78" s="215" t="str">
        <f t="shared" si="16"/>
        <v>#</v>
      </c>
    </row>
    <row r="79" spans="1:24" s="14" customFormat="1" ht="28.5" outlineLevel="1" x14ac:dyDescent="0.2">
      <c r="A79" s="4"/>
      <c r="B79" s="496" t="s">
        <v>83</v>
      </c>
      <c r="C79" s="495" t="s">
        <v>70</v>
      </c>
      <c r="D79" s="64" t="s">
        <v>85</v>
      </c>
      <c r="E79" s="65" t="s">
        <v>82</v>
      </c>
      <c r="F79" s="51">
        <v>0</v>
      </c>
      <c r="G79" s="51">
        <v>0</v>
      </c>
      <c r="H79" s="51">
        <v>0</v>
      </c>
      <c r="I79" s="51">
        <v>0</v>
      </c>
      <c r="J79" s="51">
        <v>0</v>
      </c>
      <c r="K79" s="110" t="s">
        <v>166</v>
      </c>
      <c r="L79" s="57"/>
      <c r="M79" s="4"/>
      <c r="N79" s="212" t="str">
        <f t="shared" si="15"/>
        <v>Groundwater bore ≥ 70m TVD</v>
      </c>
      <c r="O79" s="213" t="str">
        <f t="shared" si="15"/>
        <v>-</v>
      </c>
      <c r="P79" s="213" t="str">
        <f t="shared" si="17"/>
        <v>Groundwater bore ≥ 70m TVD</v>
      </c>
      <c r="Q79" s="233">
        <v>1</v>
      </c>
      <c r="R79" s="215" t="str">
        <f t="shared" si="16"/>
        <v>#</v>
      </c>
    </row>
    <row r="80" spans="1:24" s="14" customFormat="1" outlineLevel="1" x14ac:dyDescent="0.2">
      <c r="A80" s="4"/>
      <c r="B80" s="496" t="s">
        <v>84</v>
      </c>
      <c r="C80" s="495" t="s">
        <v>70</v>
      </c>
      <c r="D80" s="64" t="s">
        <v>85</v>
      </c>
      <c r="E80" s="65" t="s">
        <v>82</v>
      </c>
      <c r="F80" s="51">
        <v>0</v>
      </c>
      <c r="G80" s="51">
        <v>0</v>
      </c>
      <c r="H80" s="51">
        <v>0</v>
      </c>
      <c r="I80" s="51">
        <v>0</v>
      </c>
      <c r="J80" s="51">
        <v>0</v>
      </c>
      <c r="K80" s="110" t="s">
        <v>167</v>
      </c>
      <c r="L80" s="57"/>
      <c r="M80" s="4"/>
      <c r="N80" s="212" t="str">
        <f t="shared" si="15"/>
        <v>Drill sump liners</v>
      </c>
      <c r="O80" s="213" t="str">
        <f t="shared" si="15"/>
        <v>-</v>
      </c>
      <c r="P80" s="213" t="str">
        <f t="shared" si="17"/>
        <v>Drill sump liners</v>
      </c>
      <c r="Q80" s="233">
        <v>1</v>
      </c>
      <c r="R80" s="215" t="str">
        <f t="shared" si="16"/>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15"/>
        <v>Drill sump</v>
      </c>
      <c r="O81" s="213" t="str">
        <f t="shared" si="15"/>
        <v>-</v>
      </c>
      <c r="P81" s="213" t="str">
        <f t="shared" si="17"/>
        <v/>
      </c>
      <c r="Q81" s="233"/>
      <c r="R81" s="215" t="str">
        <f t="shared" si="16"/>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15"/>
        <v>Drill sump</v>
      </c>
      <c r="O82" s="213" t="str">
        <f t="shared" si="15"/>
        <v>-</v>
      </c>
      <c r="P82" s="213" t="str">
        <f t="shared" si="17"/>
        <v/>
      </c>
      <c r="Q82" s="233"/>
      <c r="R82" s="215" t="str">
        <f t="shared" si="16"/>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15"/>
        <v>Drill sump</v>
      </c>
      <c r="O83" s="213" t="str">
        <f t="shared" si="15"/>
        <v>-</v>
      </c>
      <c r="P83" s="213" t="str">
        <f t="shared" si="17"/>
        <v/>
      </c>
      <c r="Q83" s="233"/>
      <c r="R83" s="215" t="str">
        <f t="shared" si="16"/>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15"/>
        <v>Drill sump</v>
      </c>
      <c r="O84" s="213" t="str">
        <f t="shared" si="15"/>
        <v>-</v>
      </c>
      <c r="P84" s="213" t="str">
        <f t="shared" si="17"/>
        <v/>
      </c>
      <c r="Q84" s="233"/>
      <c r="R84" s="215" t="str">
        <f t="shared" si="16"/>
        <v>m</v>
      </c>
    </row>
    <row r="85" spans="1:18" s="14" customFormat="1" ht="15.75" outlineLevel="1" x14ac:dyDescent="0.2">
      <c r="A85" s="4"/>
      <c r="B85" s="658"/>
      <c r="C85" s="652"/>
      <c r="D85" s="64" t="s">
        <v>87</v>
      </c>
      <c r="E85" s="65" t="s">
        <v>133</v>
      </c>
      <c r="F85" s="223">
        <f>F81*(F82*F83*F84)</f>
        <v>0</v>
      </c>
      <c r="G85" s="223">
        <f t="shared" ref="G85:J85" si="18">G81*(G82*G83*G84)</f>
        <v>0</v>
      </c>
      <c r="H85" s="223">
        <f t="shared" si="18"/>
        <v>0</v>
      </c>
      <c r="I85" s="223">
        <f t="shared" si="18"/>
        <v>0</v>
      </c>
      <c r="J85" s="223">
        <f t="shared" si="18"/>
        <v>0</v>
      </c>
      <c r="K85" s="654"/>
      <c r="L85" s="57"/>
      <c r="M85" s="4"/>
      <c r="N85" s="212" t="str">
        <f t="shared" si="15"/>
        <v>Drill sump</v>
      </c>
      <c r="O85" s="213" t="str">
        <f t="shared" si="15"/>
        <v>-</v>
      </c>
      <c r="P85" s="213" t="str">
        <f t="shared" si="17"/>
        <v>Drill sump</v>
      </c>
      <c r="Q85" s="233">
        <v>1</v>
      </c>
      <c r="R85" s="215" t="str">
        <f t="shared" si="16"/>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15"/>
        <v>Flare pit</v>
      </c>
      <c r="O86" s="213" t="str">
        <f t="shared" si="15"/>
        <v>-</v>
      </c>
      <c r="P86" s="213" t="str">
        <f t="shared" si="17"/>
        <v/>
      </c>
      <c r="Q86" s="233"/>
      <c r="R86" s="215" t="str">
        <f t="shared" si="16"/>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15"/>
        <v>Flare pit</v>
      </c>
      <c r="O87" s="213" t="str">
        <f t="shared" si="15"/>
        <v>-</v>
      </c>
      <c r="P87" s="213" t="str">
        <f t="shared" si="17"/>
        <v/>
      </c>
      <c r="Q87" s="233"/>
      <c r="R87" s="215" t="str">
        <f t="shared" si="16"/>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15"/>
        <v>Flare pit</v>
      </c>
      <c r="O88" s="213" t="str">
        <f t="shared" si="15"/>
        <v>-</v>
      </c>
      <c r="P88" s="213" t="str">
        <f t="shared" si="17"/>
        <v/>
      </c>
      <c r="Q88" s="233"/>
      <c r="R88" s="215" t="str">
        <f t="shared" si="16"/>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15"/>
        <v>Flare pit</v>
      </c>
      <c r="O89" s="213" t="str">
        <f t="shared" si="15"/>
        <v>-</v>
      </c>
      <c r="P89" s="213" t="str">
        <f t="shared" si="17"/>
        <v/>
      </c>
      <c r="Q89" s="233"/>
      <c r="R89" s="215" t="str">
        <f t="shared" si="16"/>
        <v>m</v>
      </c>
    </row>
    <row r="90" spans="1:18" s="14" customFormat="1" ht="15.75" outlineLevel="1" x14ac:dyDescent="0.2">
      <c r="A90" s="4"/>
      <c r="B90" s="658"/>
      <c r="C90" s="652"/>
      <c r="D90" s="64" t="s">
        <v>87</v>
      </c>
      <c r="E90" s="65" t="s">
        <v>133</v>
      </c>
      <c r="F90" s="224">
        <f>F86*(F87*F88*F89)</f>
        <v>0</v>
      </c>
      <c r="G90" s="224">
        <f t="shared" ref="G90:J90" si="19">G86*(G87*G88*G89)</f>
        <v>0</v>
      </c>
      <c r="H90" s="224">
        <f t="shared" si="19"/>
        <v>0</v>
      </c>
      <c r="I90" s="224">
        <f t="shared" si="19"/>
        <v>0</v>
      </c>
      <c r="J90" s="224">
        <f t="shared" si="19"/>
        <v>0</v>
      </c>
      <c r="K90" s="654"/>
      <c r="L90" s="57"/>
      <c r="M90" s="4"/>
      <c r="N90" s="212" t="str">
        <f t="shared" si="15"/>
        <v>Flare pit</v>
      </c>
      <c r="O90" s="213" t="str">
        <f t="shared" si="15"/>
        <v>-</v>
      </c>
      <c r="P90" s="213" t="str">
        <f t="shared" si="17"/>
        <v>Flare pit</v>
      </c>
      <c r="Q90" s="233">
        <v>1</v>
      </c>
      <c r="R90" s="215" t="str">
        <f t="shared" si="16"/>
        <v>m3</v>
      </c>
    </row>
    <row r="91" spans="1:18" s="14" customFormat="1" ht="28.5" outlineLevel="1" x14ac:dyDescent="0.2">
      <c r="A91" s="4"/>
      <c r="B91" s="496" t="s">
        <v>89</v>
      </c>
      <c r="C91" s="495" t="s">
        <v>70</v>
      </c>
      <c r="D91" s="64" t="s">
        <v>85</v>
      </c>
      <c r="E91" s="65" t="s">
        <v>82</v>
      </c>
      <c r="F91" s="222">
        <v>0</v>
      </c>
      <c r="G91" s="222">
        <v>0</v>
      </c>
      <c r="H91" s="222">
        <v>0</v>
      </c>
      <c r="I91" s="222">
        <v>0</v>
      </c>
      <c r="J91" s="222">
        <v>0</v>
      </c>
      <c r="K91" s="110" t="s">
        <v>171</v>
      </c>
      <c r="L91" s="57"/>
      <c r="M91" s="4"/>
      <c r="N91" s="212" t="str">
        <f t="shared" si="15"/>
        <v>Wastewater tank</v>
      </c>
      <c r="O91" s="213" t="str">
        <f t="shared" si="15"/>
        <v>-</v>
      </c>
      <c r="P91" s="213" t="str">
        <f t="shared" si="17"/>
        <v>Wastewater tank</v>
      </c>
      <c r="Q91" s="233">
        <v>1</v>
      </c>
      <c r="R91" s="215" t="str">
        <f t="shared" si="16"/>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si="15"/>
        <v>Wastewater treatment plant (camp)</v>
      </c>
      <c r="O92" s="213" t="str">
        <f t="shared" si="15"/>
        <v>-</v>
      </c>
      <c r="P92" s="213" t="str">
        <f t="shared" si="17"/>
        <v>Wastewater treatment plant (camp)</v>
      </c>
      <c r="Q92" s="233">
        <v>1</v>
      </c>
      <c r="R92" s="215" t="str">
        <f t="shared" si="16"/>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ref="N93:O108" si="20">IF(B93="",N92,B93)</f>
        <v>Turkey's nest</v>
      </c>
      <c r="O93" s="213" t="str">
        <f t="shared" si="20"/>
        <v>-</v>
      </c>
      <c r="P93" s="213" t="str">
        <f t="shared" si="17"/>
        <v/>
      </c>
      <c r="Q93" s="233"/>
      <c r="R93" s="215" t="str">
        <f t="shared" si="16"/>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20"/>
        <v>Turkey's nest</v>
      </c>
      <c r="O94" s="213" t="str">
        <f t="shared" si="20"/>
        <v>-</v>
      </c>
      <c r="P94" s="213" t="str">
        <f t="shared" si="17"/>
        <v/>
      </c>
      <c r="Q94" s="233"/>
      <c r="R94" s="215" t="str">
        <f t="shared" si="16"/>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20"/>
        <v>Turkey's nest</v>
      </c>
      <c r="O95" s="213" t="str">
        <f t="shared" si="20"/>
        <v>-</v>
      </c>
      <c r="P95" s="213" t="str">
        <f t="shared" si="17"/>
        <v/>
      </c>
      <c r="Q95" s="233"/>
      <c r="R95" s="215" t="str">
        <f t="shared" si="16"/>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20"/>
        <v>Turkey's nest</v>
      </c>
      <c r="O96" s="213" t="str">
        <f t="shared" si="20"/>
        <v>-</v>
      </c>
      <c r="P96" s="213" t="str">
        <f t="shared" si="17"/>
        <v/>
      </c>
      <c r="Q96" s="233"/>
      <c r="R96" s="215" t="str">
        <f t="shared" si="16"/>
        <v>m</v>
      </c>
    </row>
    <row r="97" spans="1:27" s="14" customFormat="1" ht="15.75" outlineLevel="1" x14ac:dyDescent="0.2">
      <c r="A97" s="4"/>
      <c r="B97" s="658"/>
      <c r="C97" s="652"/>
      <c r="D97" s="64" t="s">
        <v>87</v>
      </c>
      <c r="E97" s="65" t="s">
        <v>133</v>
      </c>
      <c r="F97" s="224">
        <f>F93*(F94*F95*F96)</f>
        <v>0</v>
      </c>
      <c r="G97" s="224">
        <f t="shared" ref="G97:J97" si="21">G93*(G94*G95*G96)</f>
        <v>0</v>
      </c>
      <c r="H97" s="224">
        <f t="shared" si="21"/>
        <v>0</v>
      </c>
      <c r="I97" s="224">
        <f t="shared" si="21"/>
        <v>0</v>
      </c>
      <c r="J97" s="224">
        <f t="shared" si="21"/>
        <v>0</v>
      </c>
      <c r="K97" s="654"/>
      <c r="L97" s="57"/>
      <c r="M97" s="4"/>
      <c r="N97" s="212" t="str">
        <f t="shared" si="20"/>
        <v>Turkey's nest</v>
      </c>
      <c r="O97" s="213" t="str">
        <f t="shared" si="20"/>
        <v>-</v>
      </c>
      <c r="P97" s="213" t="str">
        <f t="shared" si="17"/>
        <v>Turkey's nest</v>
      </c>
      <c r="Q97" s="233">
        <v>1</v>
      </c>
      <c r="R97" s="215" t="str">
        <f t="shared" si="16"/>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20"/>
        <v>Camp capacity</v>
      </c>
      <c r="O98" s="419" t="str">
        <f t="shared" si="20"/>
        <v>-</v>
      </c>
      <c r="P98" s="419" t="str">
        <f t="shared" si="17"/>
        <v/>
      </c>
      <c r="Q98" s="421"/>
      <c r="R98" s="215" t="str">
        <f t="shared" si="16"/>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20"/>
        <v>Camp capacity</v>
      </c>
      <c r="O99" s="419" t="str">
        <f t="shared" si="20"/>
        <v>-</v>
      </c>
      <c r="P99" s="419" t="str">
        <f t="shared" si="17"/>
        <v>Camp capacity</v>
      </c>
      <c r="Q99" s="421">
        <v>1</v>
      </c>
      <c r="R99" s="215" t="str">
        <f t="shared" si="16"/>
        <v>#</v>
      </c>
    </row>
    <row r="100" spans="1:27" s="14" customFormat="1" ht="28.5" outlineLevel="1" x14ac:dyDescent="0.2">
      <c r="A100" s="4"/>
      <c r="B100" s="496" t="s">
        <v>102</v>
      </c>
      <c r="C100" s="495" t="s">
        <v>264</v>
      </c>
      <c r="D100" s="64" t="s">
        <v>103</v>
      </c>
      <c r="E100" s="65" t="s">
        <v>79</v>
      </c>
      <c r="F100" s="222">
        <v>0</v>
      </c>
      <c r="G100" s="222">
        <v>0</v>
      </c>
      <c r="H100" s="222">
        <v>0</v>
      </c>
      <c r="I100" s="222">
        <v>0</v>
      </c>
      <c r="J100" s="222">
        <v>0</v>
      </c>
      <c r="K100" s="490" t="s">
        <v>174</v>
      </c>
      <c r="L100" s="57"/>
      <c r="M100" s="4"/>
      <c r="N100" s="212" t="str">
        <f>IF(B100="",N99,B100)</f>
        <v>Flowlines / pipelines</v>
      </c>
      <c r="O100" s="419" t="str">
        <f>IF(C100="",O99,C100)</f>
        <v>Above and below ground</v>
      </c>
      <c r="P100" s="419" t="str">
        <f t="shared" si="17"/>
        <v>Flowlines / pipelines - Above and below ground</v>
      </c>
      <c r="Q100" s="421">
        <v>1</v>
      </c>
      <c r="R100" s="215" t="str">
        <f t="shared" si="16"/>
        <v>m</v>
      </c>
    </row>
    <row r="101" spans="1:27" s="14" customFormat="1" ht="28.5" outlineLevel="1" x14ac:dyDescent="0.2">
      <c r="A101" s="4"/>
      <c r="B101" s="496" t="s">
        <v>104</v>
      </c>
      <c r="C101" s="495" t="s">
        <v>273</v>
      </c>
      <c r="D101" s="64" t="s">
        <v>85</v>
      </c>
      <c r="E101" s="65" t="s">
        <v>82</v>
      </c>
      <c r="F101" s="225">
        <f>F56</f>
        <v>0</v>
      </c>
      <c r="G101" s="225">
        <f>G56</f>
        <v>0</v>
      </c>
      <c r="H101" s="225">
        <f>H56</f>
        <v>0</v>
      </c>
      <c r="I101" s="225">
        <f>I56</f>
        <v>0</v>
      </c>
      <c r="J101" s="225">
        <f>J56</f>
        <v>0</v>
      </c>
      <c r="K101" s="490" t="s">
        <v>175</v>
      </c>
      <c r="L101" s="57"/>
      <c r="M101" s="4"/>
      <c r="N101" s="217" t="str">
        <f>IF(B101="",N100,B101)</f>
        <v xml:space="preserve">Contaminated soil testing </v>
      </c>
      <c r="O101" s="218" t="str">
        <f>IF(C101="",O100,C101)</f>
        <v>Per well pad</v>
      </c>
      <c r="P101" s="218" t="str">
        <f t="shared" si="17"/>
        <v>Contaminated soil testing  - Per well pad</v>
      </c>
      <c r="Q101" s="234">
        <v>1</v>
      </c>
      <c r="R101" s="220" t="str">
        <f t="shared" si="16"/>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4.2.4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20"/>
        <v>General waste</v>
      </c>
      <c r="O104" s="229" t="str">
        <f t="shared" si="20"/>
        <v>-</v>
      </c>
      <c r="P104" s="229" t="str">
        <f t="shared" si="17"/>
        <v>General waste</v>
      </c>
      <c r="Q104" s="232">
        <v>1</v>
      </c>
      <c r="R104" s="231" t="str">
        <f t="shared" ref="R104:R129" si="22">E104</f>
        <v>tonnes</v>
      </c>
    </row>
    <row r="105" spans="1:27" s="14" customFormat="1" ht="28.5" outlineLevel="1" x14ac:dyDescent="0.2">
      <c r="A105" s="4"/>
      <c r="B105" s="496" t="s">
        <v>109</v>
      </c>
      <c r="C105" s="196" t="s">
        <v>70</v>
      </c>
      <c r="D105" s="55" t="s">
        <v>176</v>
      </c>
      <c r="E105" s="198" t="s">
        <v>177</v>
      </c>
      <c r="F105" s="222">
        <v>0</v>
      </c>
      <c r="G105" s="222">
        <v>0</v>
      </c>
      <c r="H105" s="222">
        <v>0</v>
      </c>
      <c r="I105" s="222">
        <v>0</v>
      </c>
      <c r="J105" s="222">
        <v>0</v>
      </c>
      <c r="K105" s="110" t="s">
        <v>178</v>
      </c>
      <c r="L105" s="57"/>
      <c r="M105" s="4"/>
      <c r="N105" s="212" t="str">
        <f t="shared" si="20"/>
        <v>Listed waste</v>
      </c>
      <c r="O105" s="235" t="str">
        <f t="shared" si="20"/>
        <v>-</v>
      </c>
      <c r="P105" s="213" t="str">
        <f t="shared" si="17"/>
        <v>Listed waste</v>
      </c>
      <c r="Q105" s="233">
        <v>1</v>
      </c>
      <c r="R105" s="215" t="str">
        <f t="shared" si="22"/>
        <v>tonnes</v>
      </c>
    </row>
    <row r="106" spans="1:27" s="14" customFormat="1" outlineLevel="1" x14ac:dyDescent="0.2">
      <c r="A106" s="4"/>
      <c r="B106" s="496" t="s">
        <v>112</v>
      </c>
      <c r="C106" s="196" t="s">
        <v>70</v>
      </c>
      <c r="D106" s="194" t="s">
        <v>87</v>
      </c>
      <c r="E106" s="67" t="s">
        <v>177</v>
      </c>
      <c r="F106" s="222">
        <v>0</v>
      </c>
      <c r="G106" s="222">
        <v>0</v>
      </c>
      <c r="H106" s="222">
        <v>0</v>
      </c>
      <c r="I106" s="222">
        <v>0</v>
      </c>
      <c r="J106" s="222">
        <v>0</v>
      </c>
      <c r="K106" s="110" t="s">
        <v>113</v>
      </c>
      <c r="L106" s="57"/>
      <c r="M106" s="4"/>
      <c r="N106" s="212" t="str">
        <f t="shared" si="20"/>
        <v xml:space="preserve">Chemical waste </v>
      </c>
      <c r="O106" s="235" t="str">
        <f t="shared" si="20"/>
        <v>-</v>
      </c>
      <c r="P106" s="213" t="str">
        <f t="shared" si="17"/>
        <v xml:space="preserve">Chemical waste </v>
      </c>
      <c r="Q106" s="233">
        <v>1</v>
      </c>
      <c r="R106" s="215" t="str">
        <f t="shared" si="22"/>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20"/>
        <v>-</v>
      </c>
      <c r="P107" s="213" t="str">
        <f t="shared" si="17"/>
        <v/>
      </c>
      <c r="Q107" s="233"/>
      <c r="R107" s="215">
        <f t="shared" si="22"/>
        <v>0</v>
      </c>
    </row>
    <row r="108" spans="1:27" s="14" customFormat="1" ht="42.75" outlineLevel="1" x14ac:dyDescent="0.2">
      <c r="A108" s="4"/>
      <c r="B108" s="189" t="s">
        <v>180</v>
      </c>
      <c r="C108" s="495" t="s">
        <v>70</v>
      </c>
      <c r="D108" s="193" t="s">
        <v>87</v>
      </c>
      <c r="E108" s="198" t="s">
        <v>181</v>
      </c>
      <c r="F108" s="222">
        <v>0</v>
      </c>
      <c r="G108" s="222">
        <v>0</v>
      </c>
      <c r="H108" s="222">
        <v>0</v>
      </c>
      <c r="I108" s="222">
        <v>0</v>
      </c>
      <c r="J108" s="222">
        <v>0</v>
      </c>
      <c r="K108" s="110" t="s">
        <v>182</v>
      </c>
      <c r="L108" s="57"/>
      <c r="M108" s="4"/>
      <c r="N108" s="212" t="str">
        <f t="shared" si="20"/>
        <v>Total volume of hydraulic fracking fluid to be used</v>
      </c>
      <c r="O108" s="236" t="str">
        <f t="shared" si="20"/>
        <v>-</v>
      </c>
      <c r="P108" s="213" t="str">
        <f t="shared" si="17"/>
        <v/>
      </c>
      <c r="Q108" s="233"/>
      <c r="R108" s="215" t="str">
        <f t="shared" si="22"/>
        <v>ML</v>
      </c>
    </row>
    <row r="109" spans="1:27" s="14" customFormat="1" ht="99.75" outlineLevel="1" x14ac:dyDescent="0.2">
      <c r="A109" s="4"/>
      <c r="B109" s="189" t="s">
        <v>183</v>
      </c>
      <c r="C109" s="495" t="s">
        <v>70</v>
      </c>
      <c r="D109" s="194" t="s">
        <v>184</v>
      </c>
      <c r="E109" s="67" t="s">
        <v>185</v>
      </c>
      <c r="F109" s="190">
        <v>0</v>
      </c>
      <c r="G109" s="190">
        <v>0</v>
      </c>
      <c r="H109" s="190">
        <v>0</v>
      </c>
      <c r="I109" s="190">
        <v>0</v>
      </c>
      <c r="J109" s="190">
        <v>0</v>
      </c>
      <c r="K109" s="110" t="s">
        <v>186</v>
      </c>
      <c r="L109" s="57"/>
      <c r="M109" s="4"/>
      <c r="N109" s="212" t="str">
        <f t="shared" ref="N109:O124" si="23">IF(B109="",N108,B109)</f>
        <v>Percentage expected to return to the surface (flowback fluid)</v>
      </c>
      <c r="O109" s="236" t="str">
        <f t="shared" si="23"/>
        <v>-</v>
      </c>
      <c r="P109" s="213" t="str">
        <f t="shared" si="17"/>
        <v/>
      </c>
      <c r="Q109" s="233"/>
      <c r="R109" s="215" t="str">
        <f t="shared" si="22"/>
        <v>%</v>
      </c>
    </row>
    <row r="110" spans="1:27" s="14" customFormat="1" ht="57" outlineLevel="1" x14ac:dyDescent="0.2">
      <c r="A110" s="4"/>
      <c r="B110" s="189" t="s">
        <v>187</v>
      </c>
      <c r="C110" s="495" t="s">
        <v>70</v>
      </c>
      <c r="D110" s="194" t="s">
        <v>184</v>
      </c>
      <c r="E110" s="67" t="s">
        <v>185</v>
      </c>
      <c r="F110" s="190">
        <v>0</v>
      </c>
      <c r="G110" s="190">
        <v>0</v>
      </c>
      <c r="H110" s="190">
        <v>0</v>
      </c>
      <c r="I110" s="190">
        <v>0</v>
      </c>
      <c r="J110" s="190">
        <v>0</v>
      </c>
      <c r="K110" s="110" t="s">
        <v>188</v>
      </c>
      <c r="L110" s="57"/>
      <c r="M110" s="4"/>
      <c r="N110" s="212" t="str">
        <f t="shared" si="23"/>
        <v>Evaporation rate expected</v>
      </c>
      <c r="O110" s="236" t="str">
        <f t="shared" si="23"/>
        <v>-</v>
      </c>
      <c r="P110" s="213" t="str">
        <f t="shared" si="17"/>
        <v/>
      </c>
      <c r="Q110" s="233"/>
      <c r="R110" s="215" t="str">
        <f t="shared" si="22"/>
        <v>%</v>
      </c>
    </row>
    <row r="111" spans="1:27" s="14" customFormat="1" ht="42.75" outlineLevel="1" x14ac:dyDescent="0.2">
      <c r="A111" s="4"/>
      <c r="B111" s="189" t="s">
        <v>189</v>
      </c>
      <c r="C111" s="196" t="s">
        <v>70</v>
      </c>
      <c r="D111" s="194" t="s">
        <v>87</v>
      </c>
      <c r="E111" s="67" t="s">
        <v>181</v>
      </c>
      <c r="F111" s="459">
        <f t="shared" ref="F111:J111" si="24">(F108*F109)-((F108*F109)*F110)</f>
        <v>0</v>
      </c>
      <c r="G111" s="383">
        <f t="shared" si="24"/>
        <v>0</v>
      </c>
      <c r="H111" s="383">
        <f t="shared" si="24"/>
        <v>0</v>
      </c>
      <c r="I111" s="383">
        <f t="shared" si="24"/>
        <v>0</v>
      </c>
      <c r="J111" s="383">
        <f t="shared" si="24"/>
        <v>0</v>
      </c>
      <c r="K111" s="110" t="s">
        <v>190</v>
      </c>
      <c r="L111" s="57"/>
      <c r="M111" s="4"/>
      <c r="N111" s="212" t="str">
        <f t="shared" si="23"/>
        <v>Volume to be disposed</v>
      </c>
      <c r="O111" s="213" t="str">
        <f t="shared" si="23"/>
        <v>-</v>
      </c>
      <c r="P111" s="213" t="str">
        <f>N107</f>
        <v>Hydraulic Fracking Fluid</v>
      </c>
      <c r="Q111" s="233">
        <v>1</v>
      </c>
      <c r="R111" s="215" t="str">
        <f t="shared" si="22"/>
        <v>ML</v>
      </c>
    </row>
    <row r="112" spans="1:27" s="14" customFormat="1" ht="71.25" outlineLevel="1" x14ac:dyDescent="0.2">
      <c r="A112" s="4"/>
      <c r="B112" s="477" t="s">
        <v>302</v>
      </c>
      <c r="C112" s="495" t="s">
        <v>70</v>
      </c>
      <c r="D112" s="194" t="s">
        <v>191</v>
      </c>
      <c r="E112" s="495" t="s">
        <v>192</v>
      </c>
      <c r="F112" s="237">
        <v>0</v>
      </c>
      <c r="G112" s="237">
        <v>0</v>
      </c>
      <c r="H112" s="237">
        <v>0</v>
      </c>
      <c r="I112" s="237">
        <v>0</v>
      </c>
      <c r="J112" s="237">
        <v>0</v>
      </c>
      <c r="K112" s="110" t="s">
        <v>193</v>
      </c>
      <c r="L112" s="57"/>
      <c r="M112" s="4"/>
      <c r="N112" s="212" t="str">
        <f t="shared" si="23"/>
        <v>Expected TDS after evaporation</v>
      </c>
      <c r="O112" s="236" t="str">
        <f t="shared" si="23"/>
        <v>-</v>
      </c>
      <c r="P112" s="213" t="str">
        <f t="shared" si="17"/>
        <v/>
      </c>
      <c r="Q112" s="233"/>
      <c r="R112" s="417" t="str">
        <f t="shared" si="22"/>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23"/>
        <v>Produced water (formation water)</v>
      </c>
      <c r="O113" s="213" t="str">
        <f t="shared" si="23"/>
        <v>-</v>
      </c>
      <c r="P113" s="213" t="str">
        <f t="shared" si="17"/>
        <v/>
      </c>
      <c r="Q113" s="233"/>
      <c r="R113" s="215">
        <f t="shared" si="22"/>
        <v>0</v>
      </c>
    </row>
    <row r="114" spans="1:18" s="14" customFormat="1" ht="128.25" outlineLevel="1" x14ac:dyDescent="0.2">
      <c r="A114" s="4"/>
      <c r="B114" s="189" t="s">
        <v>195</v>
      </c>
      <c r="C114" s="495" t="s">
        <v>70</v>
      </c>
      <c r="D114" s="193" t="s">
        <v>87</v>
      </c>
      <c r="E114" s="198" t="s">
        <v>181</v>
      </c>
      <c r="F114" s="222">
        <v>0</v>
      </c>
      <c r="G114" s="222">
        <v>0</v>
      </c>
      <c r="H114" s="222">
        <v>0</v>
      </c>
      <c r="I114" s="222">
        <v>0</v>
      </c>
      <c r="J114" s="222">
        <v>0</v>
      </c>
      <c r="K114" s="110" t="s">
        <v>196</v>
      </c>
      <c r="L114" s="57"/>
      <c r="M114" s="4"/>
      <c r="N114" s="212" t="str">
        <f t="shared" si="23"/>
        <v>Expected volume of produced water</v>
      </c>
      <c r="O114" s="236" t="str">
        <f t="shared" si="23"/>
        <v>-</v>
      </c>
      <c r="P114" s="213" t="str">
        <f t="shared" si="17"/>
        <v/>
      </c>
      <c r="Q114" s="233"/>
      <c r="R114" s="215" t="str">
        <f t="shared" si="22"/>
        <v>ML</v>
      </c>
    </row>
    <row r="115" spans="1:18" s="14" customFormat="1" ht="57" outlineLevel="1" x14ac:dyDescent="0.2">
      <c r="A115" s="4"/>
      <c r="B115" s="189" t="s">
        <v>187</v>
      </c>
      <c r="C115" s="495" t="s">
        <v>70</v>
      </c>
      <c r="D115" s="194" t="s">
        <v>184</v>
      </c>
      <c r="E115" s="67" t="s">
        <v>185</v>
      </c>
      <c r="F115" s="190">
        <v>0</v>
      </c>
      <c r="G115" s="190">
        <v>0</v>
      </c>
      <c r="H115" s="190">
        <v>0</v>
      </c>
      <c r="I115" s="190">
        <v>0</v>
      </c>
      <c r="J115" s="190">
        <v>0</v>
      </c>
      <c r="K115" s="110" t="s">
        <v>188</v>
      </c>
      <c r="L115" s="57"/>
      <c r="M115" s="4"/>
      <c r="N115" s="212" t="str">
        <f t="shared" si="23"/>
        <v>Evaporation rate expected</v>
      </c>
      <c r="O115" s="236" t="str">
        <f t="shared" si="23"/>
        <v>-</v>
      </c>
      <c r="P115" s="213" t="str">
        <f t="shared" si="17"/>
        <v/>
      </c>
      <c r="Q115" s="233"/>
      <c r="R115" s="215" t="str">
        <f t="shared" si="22"/>
        <v>%</v>
      </c>
    </row>
    <row r="116" spans="1:18" s="14" customFormat="1" ht="42.75" outlineLevel="1" x14ac:dyDescent="0.2">
      <c r="A116" s="4"/>
      <c r="B116" s="189" t="s">
        <v>189</v>
      </c>
      <c r="C116" s="196" t="s">
        <v>70</v>
      </c>
      <c r="D116" s="55" t="s">
        <v>87</v>
      </c>
      <c r="E116" s="198" t="s">
        <v>181</v>
      </c>
      <c r="F116" s="383">
        <f t="shared" ref="F116:J116" si="25">F114-(F114*F115)</f>
        <v>0</v>
      </c>
      <c r="G116" s="383">
        <f t="shared" si="25"/>
        <v>0</v>
      </c>
      <c r="H116" s="383">
        <f t="shared" si="25"/>
        <v>0</v>
      </c>
      <c r="I116" s="383">
        <f t="shared" si="25"/>
        <v>0</v>
      </c>
      <c r="J116" s="383">
        <f t="shared" si="25"/>
        <v>0</v>
      </c>
      <c r="K116" s="110" t="s">
        <v>190</v>
      </c>
      <c r="L116" s="57"/>
      <c r="M116" s="4"/>
      <c r="N116" s="216" t="str">
        <f t="shared" si="23"/>
        <v>Volume to be disposed</v>
      </c>
      <c r="O116" s="236" t="str">
        <f t="shared" si="23"/>
        <v>-</v>
      </c>
      <c r="P116" s="213" t="str">
        <f>N113</f>
        <v>Produced water (formation water)</v>
      </c>
      <c r="Q116" s="233">
        <v>1</v>
      </c>
      <c r="R116" s="215" t="str">
        <f t="shared" si="22"/>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23"/>
        <v>Expected TDS after evaporation</v>
      </c>
      <c r="O117" s="236" t="str">
        <f t="shared" si="23"/>
        <v>-</v>
      </c>
      <c r="P117" s="213" t="str">
        <f t="shared" si="17"/>
        <v/>
      </c>
      <c r="Q117" s="416"/>
      <c r="R117" s="417" t="str">
        <f t="shared" si="22"/>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23"/>
        <v>Other Wastewater</v>
      </c>
      <c r="O118" s="213" t="str">
        <f t="shared" si="23"/>
        <v>-</v>
      </c>
      <c r="P118" s="213" t="str">
        <f t="shared" si="17"/>
        <v/>
      </c>
      <c r="Q118" s="233"/>
      <c r="R118" s="215">
        <f t="shared" si="22"/>
        <v>0</v>
      </c>
    </row>
    <row r="119" spans="1:18" s="14" customFormat="1" ht="42.75" outlineLevel="1" x14ac:dyDescent="0.2">
      <c r="A119" s="4"/>
      <c r="B119" s="189" t="s">
        <v>198</v>
      </c>
      <c r="C119" s="495" t="s">
        <v>70</v>
      </c>
      <c r="D119" s="193" t="s">
        <v>87</v>
      </c>
      <c r="E119" s="198" t="s">
        <v>181</v>
      </c>
      <c r="F119" s="222">
        <v>0</v>
      </c>
      <c r="G119" s="222">
        <v>0</v>
      </c>
      <c r="H119" s="222">
        <v>0</v>
      </c>
      <c r="I119" s="222">
        <v>0</v>
      </c>
      <c r="J119" s="222">
        <v>0</v>
      </c>
      <c r="K119" s="110" t="s">
        <v>199</v>
      </c>
      <c r="L119" s="57"/>
      <c r="M119" s="4"/>
      <c r="N119" s="212" t="str">
        <f t="shared" si="23"/>
        <v>Expected volume of other wastewater</v>
      </c>
      <c r="O119" s="235" t="str">
        <f t="shared" si="23"/>
        <v>-</v>
      </c>
      <c r="P119" s="213" t="str">
        <f t="shared" si="17"/>
        <v/>
      </c>
      <c r="Q119" s="233"/>
      <c r="R119" s="215" t="str">
        <f t="shared" si="22"/>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23"/>
        <v>Evaporation rate expected</v>
      </c>
      <c r="O120" s="235" t="str">
        <f t="shared" si="23"/>
        <v>-</v>
      </c>
      <c r="P120" s="213" t="str">
        <f t="shared" si="17"/>
        <v/>
      </c>
      <c r="Q120" s="233"/>
      <c r="R120" s="215" t="str">
        <f t="shared" si="22"/>
        <v>%</v>
      </c>
    </row>
    <row r="121" spans="1:18" s="14" customFormat="1" ht="44.65" customHeight="1" outlineLevel="1" x14ac:dyDescent="0.2">
      <c r="A121" s="4"/>
      <c r="B121" s="189" t="s">
        <v>189</v>
      </c>
      <c r="C121" s="495" t="s">
        <v>70</v>
      </c>
      <c r="D121" s="193" t="s">
        <v>87</v>
      </c>
      <c r="E121" s="198" t="s">
        <v>181</v>
      </c>
      <c r="F121" s="383">
        <f t="shared" ref="F121:J121" si="26">F119-(F119*F120)</f>
        <v>0</v>
      </c>
      <c r="G121" s="383">
        <f t="shared" si="26"/>
        <v>0</v>
      </c>
      <c r="H121" s="383">
        <f t="shared" si="26"/>
        <v>0</v>
      </c>
      <c r="I121" s="383">
        <f t="shared" si="26"/>
        <v>0</v>
      </c>
      <c r="J121" s="383">
        <f t="shared" si="26"/>
        <v>0</v>
      </c>
      <c r="K121" s="110" t="s">
        <v>190</v>
      </c>
      <c r="L121" s="57"/>
      <c r="M121" s="4"/>
      <c r="N121" s="212" t="str">
        <f t="shared" si="23"/>
        <v>Volume to be disposed</v>
      </c>
      <c r="O121" s="235" t="str">
        <f t="shared" si="23"/>
        <v>-</v>
      </c>
      <c r="P121" s="213" t="str">
        <f>N118</f>
        <v>Other Wastewater</v>
      </c>
      <c r="Q121" s="233">
        <v>1</v>
      </c>
      <c r="R121" s="215" t="str">
        <f t="shared" si="22"/>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23"/>
        <v>Expected TDS after evaporation</v>
      </c>
      <c r="O122" s="235" t="str">
        <f t="shared" si="23"/>
        <v>-</v>
      </c>
      <c r="P122" s="213" t="str">
        <f t="shared" si="17"/>
        <v/>
      </c>
      <c r="Q122" s="233"/>
      <c r="R122" s="417" t="str">
        <f t="shared" si="22"/>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23"/>
        <v>Drilling Muds and Cuttings</v>
      </c>
      <c r="O123" s="236" t="str">
        <f t="shared" si="23"/>
        <v>-</v>
      </c>
      <c r="P123" s="213" t="str">
        <f t="shared" si="17"/>
        <v/>
      </c>
      <c r="Q123" s="233"/>
      <c r="R123" s="215"/>
    </row>
    <row r="124" spans="1:18" s="14" customFormat="1" ht="71.650000000000006" customHeight="1" outlineLevel="1" x14ac:dyDescent="0.2">
      <c r="A124" s="4"/>
      <c r="B124" s="189" t="s">
        <v>304</v>
      </c>
      <c r="C124" s="495" t="s">
        <v>70</v>
      </c>
      <c r="D124" s="194" t="s">
        <v>87</v>
      </c>
      <c r="E124" s="67" t="s">
        <v>133</v>
      </c>
      <c r="F124" s="222">
        <v>0</v>
      </c>
      <c r="G124" s="222">
        <v>0</v>
      </c>
      <c r="H124" s="222">
        <v>0</v>
      </c>
      <c r="I124" s="222">
        <v>0</v>
      </c>
      <c r="J124" s="222">
        <v>0</v>
      </c>
      <c r="K124" s="491" t="s">
        <v>317</v>
      </c>
      <c r="L124" s="57"/>
      <c r="M124" s="4"/>
      <c r="N124" s="212" t="str">
        <f t="shared" si="23"/>
        <v>Expected volume of drilling muds and cuttings</v>
      </c>
      <c r="O124" s="236" t="str">
        <f t="shared" si="23"/>
        <v>-</v>
      </c>
      <c r="P124" s="213" t="str">
        <f t="shared" si="17"/>
        <v/>
      </c>
      <c r="Q124" s="233"/>
      <c r="R124" s="215"/>
    </row>
    <row r="125" spans="1:18" s="14" customFormat="1" ht="37.5" customHeight="1" outlineLevel="1" x14ac:dyDescent="0.2">
      <c r="A125" s="4"/>
      <c r="B125" s="189" t="s">
        <v>187</v>
      </c>
      <c r="C125" s="495" t="s">
        <v>70</v>
      </c>
      <c r="D125" s="194" t="s">
        <v>184</v>
      </c>
      <c r="E125" s="198" t="s">
        <v>185</v>
      </c>
      <c r="F125" s="190">
        <v>0</v>
      </c>
      <c r="G125" s="190">
        <v>0</v>
      </c>
      <c r="H125" s="190">
        <v>0</v>
      </c>
      <c r="I125" s="190">
        <v>0</v>
      </c>
      <c r="J125" s="190">
        <v>0</v>
      </c>
      <c r="K125" s="110" t="s">
        <v>202</v>
      </c>
      <c r="L125" s="57"/>
      <c r="M125" s="4"/>
      <c r="N125" s="212" t="str">
        <f t="shared" ref="N125:O129" si="27">IF(B125="",N124,B125)</f>
        <v>Evaporation rate expected</v>
      </c>
      <c r="O125" s="236" t="str">
        <f t="shared" si="27"/>
        <v>-</v>
      </c>
      <c r="P125" s="213" t="str">
        <f t="shared" si="17"/>
        <v/>
      </c>
      <c r="Q125" s="233"/>
      <c r="R125" s="215"/>
    </row>
    <row r="126" spans="1:18" s="14" customFormat="1" ht="40.15" customHeight="1" outlineLevel="1" x14ac:dyDescent="0.2">
      <c r="A126" s="4"/>
      <c r="B126" s="477" t="s">
        <v>189</v>
      </c>
      <c r="C126" s="495" t="s">
        <v>70</v>
      </c>
      <c r="D126" s="194" t="s">
        <v>87</v>
      </c>
      <c r="E126" s="198" t="s">
        <v>169</v>
      </c>
      <c r="F126" s="383">
        <f>F124-(F124*F125)</f>
        <v>0</v>
      </c>
      <c r="G126" s="383">
        <f t="shared" ref="G126:J126" si="28">G124-(G124*G125)</f>
        <v>0</v>
      </c>
      <c r="H126" s="383">
        <f t="shared" si="28"/>
        <v>0</v>
      </c>
      <c r="I126" s="383">
        <f t="shared" si="28"/>
        <v>0</v>
      </c>
      <c r="J126" s="383">
        <f t="shared" si="28"/>
        <v>0</v>
      </c>
      <c r="K126" s="110" t="s">
        <v>190</v>
      </c>
      <c r="L126" s="57"/>
      <c r="M126" s="4"/>
      <c r="N126" s="212" t="str">
        <f t="shared" si="27"/>
        <v>Volume to be disposed</v>
      </c>
      <c r="O126" s="236" t="str">
        <f t="shared" si="27"/>
        <v>-</v>
      </c>
      <c r="P126" s="213" t="str">
        <f>N123</f>
        <v>Drilling Muds and Cuttings</v>
      </c>
      <c r="Q126" s="233">
        <v>1</v>
      </c>
      <c r="R126" s="215"/>
    </row>
    <row r="127" spans="1:18" s="14" customFormat="1" ht="71.25" outlineLevel="1" x14ac:dyDescent="0.2">
      <c r="A127" s="4"/>
      <c r="B127" s="477" t="s">
        <v>302</v>
      </c>
      <c r="C127" s="495" t="s">
        <v>70</v>
      </c>
      <c r="D127" s="194" t="s">
        <v>191</v>
      </c>
      <c r="E127" s="199" t="s">
        <v>192</v>
      </c>
      <c r="F127" s="237">
        <v>0</v>
      </c>
      <c r="G127" s="237">
        <v>0</v>
      </c>
      <c r="H127" s="237">
        <v>0</v>
      </c>
      <c r="I127" s="237">
        <v>0</v>
      </c>
      <c r="J127" s="237">
        <v>0</v>
      </c>
      <c r="K127" s="110" t="s">
        <v>203</v>
      </c>
      <c r="L127" s="57"/>
      <c r="M127" s="4"/>
      <c r="N127" s="212" t="str">
        <f t="shared" si="27"/>
        <v>Expected TDS after evaporation</v>
      </c>
      <c r="O127" s="236" t="str">
        <f t="shared" si="27"/>
        <v>-</v>
      </c>
      <c r="P127" s="213" t="str">
        <f t="shared" si="17"/>
        <v/>
      </c>
      <c r="Q127" s="233"/>
      <c r="R127" s="215"/>
    </row>
    <row r="128" spans="1:18" s="14" customFormat="1" ht="28.5" outlineLevel="1" x14ac:dyDescent="0.2">
      <c r="A128" s="4"/>
      <c r="B128" s="71" t="s">
        <v>130</v>
      </c>
      <c r="C128" s="495" t="s">
        <v>70</v>
      </c>
      <c r="D128" s="194" t="s">
        <v>82</v>
      </c>
      <c r="E128" s="198" t="s">
        <v>222</v>
      </c>
      <c r="F128" s="222">
        <v>0</v>
      </c>
      <c r="G128" s="222">
        <v>0</v>
      </c>
      <c r="H128" s="222">
        <v>0</v>
      </c>
      <c r="I128" s="222">
        <v>0</v>
      </c>
      <c r="J128" s="222">
        <v>0</v>
      </c>
      <c r="K128" s="110" t="s">
        <v>204</v>
      </c>
      <c r="L128" s="57"/>
      <c r="M128" s="4"/>
      <c r="N128" s="212" t="str">
        <f t="shared" si="27"/>
        <v>Liners</v>
      </c>
      <c r="O128" s="236" t="str">
        <f>IF(C128="",O123,C128)</f>
        <v>-</v>
      </c>
      <c r="P128" s="213" t="str">
        <f t="shared" si="17"/>
        <v>Liners</v>
      </c>
      <c r="Q128" s="233">
        <v>1</v>
      </c>
      <c r="R128" s="215" t="str">
        <f t="shared" si="22"/>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27"/>
        <v>Well pad materials</v>
      </c>
      <c r="O129" s="418" t="str">
        <f t="shared" si="27"/>
        <v>-</v>
      </c>
      <c r="P129" s="218" t="str">
        <f t="shared" si="17"/>
        <v>Well pad materials</v>
      </c>
      <c r="Q129" s="234">
        <v>1</v>
      </c>
      <c r="R129" s="220" t="str">
        <f t="shared" si="22"/>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4.3 Summary of units used to calculate the security value by disturbance category</v>
      </c>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8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85"/>
      <c r="L133" s="4"/>
      <c r="M133" s="4"/>
    </row>
    <row r="134" spans="1:20" s="14" customFormat="1" x14ac:dyDescent="0.2">
      <c r="A134" s="4"/>
      <c r="B134" s="621" t="str">
        <f>B29</f>
        <v>Flowline right of ways - By track</v>
      </c>
      <c r="C134" s="622"/>
      <c r="D134" s="622"/>
      <c r="E134" s="44" t="s">
        <v>136</v>
      </c>
      <c r="F134" s="239">
        <f t="shared" ref="F134:J169" si="29">SUMIF($P$26:$P$129,$B134,F$26:F$129)</f>
        <v>0</v>
      </c>
      <c r="G134" s="239">
        <f t="shared" si="29"/>
        <v>0</v>
      </c>
      <c r="H134" s="239">
        <f t="shared" si="29"/>
        <v>0</v>
      </c>
      <c r="I134" s="239">
        <f t="shared" si="29"/>
        <v>0</v>
      </c>
      <c r="J134" s="240">
        <f t="shared" si="29"/>
        <v>0</v>
      </c>
      <c r="K134" s="485"/>
      <c r="L134" s="4"/>
      <c r="M134" s="4"/>
    </row>
    <row r="135" spans="1:20" s="14" customFormat="1" x14ac:dyDescent="0.2">
      <c r="A135" s="4"/>
      <c r="B135" s="621" t="str">
        <f>B30</f>
        <v>Flowline right of ways - Not by track</v>
      </c>
      <c r="C135" s="622"/>
      <c r="D135" s="622"/>
      <c r="E135" s="44" t="s">
        <v>136</v>
      </c>
      <c r="F135" s="239">
        <f t="shared" si="29"/>
        <v>0</v>
      </c>
      <c r="G135" s="239">
        <f t="shared" si="29"/>
        <v>0</v>
      </c>
      <c r="H135" s="239">
        <f t="shared" si="29"/>
        <v>0</v>
      </c>
      <c r="I135" s="239">
        <f t="shared" si="29"/>
        <v>0</v>
      </c>
      <c r="J135" s="240">
        <f t="shared" si="29"/>
        <v>0</v>
      </c>
      <c r="K135" s="485"/>
      <c r="L135" s="4"/>
      <c r="M135" s="4"/>
    </row>
    <row r="136" spans="1:20" s="14" customFormat="1" x14ac:dyDescent="0.2">
      <c r="A136" s="4"/>
      <c r="B136" s="621" t="str">
        <f>B31</f>
        <v>Access track (existing)</v>
      </c>
      <c r="C136" s="622"/>
      <c r="D136" s="622"/>
      <c r="E136" s="44" t="s">
        <v>64</v>
      </c>
      <c r="F136" s="239">
        <f t="shared" si="29"/>
        <v>0</v>
      </c>
      <c r="G136" s="239">
        <f t="shared" si="29"/>
        <v>0</v>
      </c>
      <c r="H136" s="239">
        <f t="shared" si="29"/>
        <v>0</v>
      </c>
      <c r="I136" s="239">
        <f t="shared" si="29"/>
        <v>0</v>
      </c>
      <c r="J136" s="240">
        <f t="shared" si="29"/>
        <v>0</v>
      </c>
      <c r="K136" s="48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29"/>
        <v>0</v>
      </c>
      <c r="G137" s="239">
        <f t="shared" si="29"/>
        <v>0</v>
      </c>
      <c r="H137" s="239">
        <f t="shared" si="29"/>
        <v>0</v>
      </c>
      <c r="I137" s="239">
        <f t="shared" si="29"/>
        <v>0</v>
      </c>
      <c r="J137" s="240">
        <f t="shared" si="29"/>
        <v>0</v>
      </c>
      <c r="K137" s="48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29"/>
        <v>0</v>
      </c>
      <c r="G138" s="239">
        <f t="shared" si="29"/>
        <v>0</v>
      </c>
      <c r="H138" s="239">
        <f t="shared" si="29"/>
        <v>0</v>
      </c>
      <c r="I138" s="239">
        <f t="shared" si="29"/>
        <v>0</v>
      </c>
      <c r="J138" s="240">
        <f t="shared" si="29"/>
        <v>0</v>
      </c>
      <c r="K138" s="48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29"/>
        <v>0</v>
      </c>
      <c r="G139" s="239">
        <f t="shared" si="29"/>
        <v>0</v>
      </c>
      <c r="H139" s="239">
        <f t="shared" si="29"/>
        <v>0</v>
      </c>
      <c r="I139" s="239">
        <f t="shared" si="29"/>
        <v>0</v>
      </c>
      <c r="J139" s="240">
        <f t="shared" si="29"/>
        <v>0</v>
      </c>
      <c r="K139" s="48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29"/>
        <v>0</v>
      </c>
      <c r="G140" s="239">
        <f t="shared" si="29"/>
        <v>0</v>
      </c>
      <c r="H140" s="239">
        <f t="shared" si="29"/>
        <v>0</v>
      </c>
      <c r="I140" s="239">
        <f t="shared" si="29"/>
        <v>0</v>
      </c>
      <c r="J140" s="240">
        <f t="shared" si="29"/>
        <v>0</v>
      </c>
      <c r="K140" s="48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29"/>
        <v>0</v>
      </c>
      <c r="G141" s="239">
        <f t="shared" si="29"/>
        <v>0</v>
      </c>
      <c r="H141" s="239">
        <f t="shared" si="29"/>
        <v>0</v>
      </c>
      <c r="I141" s="239">
        <f t="shared" si="29"/>
        <v>0</v>
      </c>
      <c r="J141" s="240">
        <f t="shared" si="29"/>
        <v>0</v>
      </c>
      <c r="K141" s="48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29"/>
        <v>0</v>
      </c>
      <c r="G142" s="239">
        <f t="shared" si="29"/>
        <v>0</v>
      </c>
      <c r="H142" s="239">
        <f t="shared" si="29"/>
        <v>0</v>
      </c>
      <c r="I142" s="239">
        <f t="shared" si="29"/>
        <v>0</v>
      </c>
      <c r="J142" s="240">
        <f t="shared" si="29"/>
        <v>0</v>
      </c>
      <c r="K142" s="485"/>
      <c r="L142" s="4"/>
      <c r="M142" s="4"/>
      <c r="N142" s="155"/>
      <c r="O142" s="155"/>
      <c r="P142" s="155"/>
      <c r="Q142" s="155"/>
    </row>
    <row r="143" spans="1:20" s="14" customFormat="1" x14ac:dyDescent="0.2">
      <c r="A143" s="4"/>
      <c r="B143" s="621" t="str">
        <f>B52</f>
        <v>Gravel pits</v>
      </c>
      <c r="C143" s="622"/>
      <c r="D143" s="622"/>
      <c r="E143" s="44" t="s">
        <v>64</v>
      </c>
      <c r="F143" s="239">
        <f t="shared" si="29"/>
        <v>0</v>
      </c>
      <c r="G143" s="239">
        <f t="shared" si="29"/>
        <v>0</v>
      </c>
      <c r="H143" s="239">
        <f t="shared" si="29"/>
        <v>0</v>
      </c>
      <c r="I143" s="239">
        <f t="shared" si="29"/>
        <v>0</v>
      </c>
      <c r="J143" s="240">
        <f t="shared" si="29"/>
        <v>0</v>
      </c>
      <c r="K143" s="485"/>
      <c r="L143" s="4"/>
      <c r="M143" s="4"/>
      <c r="N143" s="155"/>
      <c r="O143" s="155"/>
      <c r="P143" s="155"/>
      <c r="Q143" s="155"/>
    </row>
    <row r="144" spans="1:20" s="14" customFormat="1" x14ac:dyDescent="0.2">
      <c r="A144" s="4"/>
      <c r="B144" s="621" t="str">
        <f>B56</f>
        <v>Well pad</v>
      </c>
      <c r="C144" s="622"/>
      <c r="D144" s="622"/>
      <c r="E144" s="44" t="s">
        <v>64</v>
      </c>
      <c r="F144" s="239">
        <f t="shared" si="29"/>
        <v>0</v>
      </c>
      <c r="G144" s="239">
        <f t="shared" si="29"/>
        <v>0</v>
      </c>
      <c r="H144" s="239">
        <f t="shared" si="29"/>
        <v>0</v>
      </c>
      <c r="I144" s="239">
        <f t="shared" si="29"/>
        <v>0</v>
      </c>
      <c r="J144" s="240">
        <f t="shared" si="29"/>
        <v>0</v>
      </c>
      <c r="K144" s="48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29"/>
        <v>0</v>
      </c>
      <c r="G145" s="239">
        <f t="shared" si="29"/>
        <v>0</v>
      </c>
      <c r="H145" s="239">
        <f t="shared" si="29"/>
        <v>0</v>
      </c>
      <c r="I145" s="239">
        <f t="shared" si="29"/>
        <v>0</v>
      </c>
      <c r="J145" s="240">
        <f t="shared" si="29"/>
        <v>0</v>
      </c>
      <c r="K145" s="485"/>
      <c r="L145" s="4"/>
      <c r="M145" s="4"/>
      <c r="N145" s="155"/>
      <c r="O145" s="155"/>
      <c r="P145" s="155"/>
      <c r="Q145" s="155"/>
    </row>
    <row r="146" spans="1:17" s="14" customFormat="1" x14ac:dyDescent="0.2">
      <c r="A146" s="4"/>
      <c r="B146" s="623" t="str">
        <f>CONCATENATE(B63," - ",C63)</f>
        <v>Camp - No seeding</v>
      </c>
      <c r="C146" s="624"/>
      <c r="D146" s="625"/>
      <c r="E146" s="44" t="s">
        <v>64</v>
      </c>
      <c r="F146" s="239">
        <f t="shared" si="29"/>
        <v>0</v>
      </c>
      <c r="G146" s="239">
        <f t="shared" si="29"/>
        <v>0</v>
      </c>
      <c r="H146" s="239">
        <f t="shared" si="29"/>
        <v>0</v>
      </c>
      <c r="I146" s="239">
        <f t="shared" si="29"/>
        <v>0</v>
      </c>
      <c r="J146" s="240">
        <f t="shared" si="29"/>
        <v>0</v>
      </c>
      <c r="K146" s="48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29"/>
        <v>0</v>
      </c>
      <c r="G147" s="239">
        <f t="shared" si="29"/>
        <v>0</v>
      </c>
      <c r="H147" s="239">
        <f t="shared" si="29"/>
        <v>0</v>
      </c>
      <c r="I147" s="239">
        <f t="shared" si="29"/>
        <v>0</v>
      </c>
      <c r="J147" s="240">
        <f t="shared" si="29"/>
        <v>0</v>
      </c>
      <c r="K147" s="48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29"/>
        <v>0</v>
      </c>
      <c r="G148" s="239">
        <f t="shared" si="29"/>
        <v>0</v>
      </c>
      <c r="H148" s="239">
        <f t="shared" si="29"/>
        <v>0</v>
      </c>
      <c r="I148" s="239">
        <f t="shared" si="29"/>
        <v>0</v>
      </c>
      <c r="J148" s="240">
        <f t="shared" si="29"/>
        <v>0</v>
      </c>
      <c r="K148" s="485"/>
      <c r="L148" s="4"/>
      <c r="M148" s="4"/>
      <c r="N148" s="155"/>
      <c r="O148" s="155"/>
      <c r="P148" s="155"/>
      <c r="Q148" s="155"/>
    </row>
    <row r="149" spans="1:17" s="14" customFormat="1" x14ac:dyDescent="0.2">
      <c r="A149" s="4"/>
      <c r="B149" s="623" t="str">
        <f>B77</f>
        <v>Fencing</v>
      </c>
      <c r="C149" s="624"/>
      <c r="D149" s="625"/>
      <c r="E149" s="44" t="s">
        <v>79</v>
      </c>
      <c r="F149" s="239">
        <f t="shared" si="29"/>
        <v>0</v>
      </c>
      <c r="G149" s="239">
        <f t="shared" si="29"/>
        <v>0</v>
      </c>
      <c r="H149" s="239">
        <f t="shared" si="29"/>
        <v>0</v>
      </c>
      <c r="I149" s="239">
        <f t="shared" si="29"/>
        <v>0</v>
      </c>
      <c r="J149" s="240">
        <f t="shared" si="29"/>
        <v>0</v>
      </c>
      <c r="K149" s="485"/>
      <c r="L149" s="4"/>
      <c r="M149" s="4"/>
      <c r="N149" s="155"/>
      <c r="O149" s="155"/>
      <c r="P149" s="155"/>
      <c r="Q149" s="155"/>
    </row>
    <row r="150" spans="1:17" s="14" customFormat="1" x14ac:dyDescent="0.2">
      <c r="A150" s="4"/>
      <c r="B150" s="638" t="str">
        <f>B78</f>
        <v>Groundwater bore &lt; 70m TVD</v>
      </c>
      <c r="C150" s="639"/>
      <c r="D150" s="640"/>
      <c r="E150" s="44" t="s">
        <v>82</v>
      </c>
      <c r="F150" s="239">
        <f t="shared" si="29"/>
        <v>0</v>
      </c>
      <c r="G150" s="239">
        <f t="shared" si="29"/>
        <v>0</v>
      </c>
      <c r="H150" s="239">
        <f t="shared" si="29"/>
        <v>0</v>
      </c>
      <c r="I150" s="239">
        <f t="shared" si="29"/>
        <v>0</v>
      </c>
      <c r="J150" s="240">
        <f t="shared" si="29"/>
        <v>0</v>
      </c>
      <c r="K150" s="485"/>
      <c r="L150" s="4"/>
      <c r="M150" s="4"/>
      <c r="N150" s="155"/>
      <c r="O150" s="155"/>
      <c r="P150" s="155"/>
      <c r="Q150" s="155"/>
    </row>
    <row r="151" spans="1:17" s="14" customFormat="1" x14ac:dyDescent="0.2">
      <c r="A151" s="4"/>
      <c r="B151" s="623" t="str">
        <f>B79</f>
        <v>Groundwater bore ≥ 70m TVD</v>
      </c>
      <c r="C151" s="624"/>
      <c r="D151" s="625"/>
      <c r="E151" s="44" t="s">
        <v>82</v>
      </c>
      <c r="F151" s="239">
        <f t="shared" si="29"/>
        <v>0</v>
      </c>
      <c r="G151" s="239">
        <f t="shared" si="29"/>
        <v>0</v>
      </c>
      <c r="H151" s="239">
        <f t="shared" si="29"/>
        <v>0</v>
      </c>
      <c r="I151" s="239">
        <f t="shared" si="29"/>
        <v>0</v>
      </c>
      <c r="J151" s="240">
        <f t="shared" si="29"/>
        <v>0</v>
      </c>
      <c r="K151" s="485"/>
      <c r="L151" s="4"/>
      <c r="M151" s="4"/>
      <c r="N151" s="155"/>
      <c r="O151" s="155"/>
      <c r="P151" s="155"/>
      <c r="Q151" s="155"/>
    </row>
    <row r="152" spans="1:17" s="14" customFormat="1" x14ac:dyDescent="0.2">
      <c r="A152" s="4"/>
      <c r="B152" s="621" t="str">
        <f>B80</f>
        <v>Drill sump liners</v>
      </c>
      <c r="C152" s="622"/>
      <c r="D152" s="622"/>
      <c r="E152" s="44" t="s">
        <v>82</v>
      </c>
      <c r="F152" s="239">
        <f t="shared" si="29"/>
        <v>0</v>
      </c>
      <c r="G152" s="239">
        <f t="shared" si="29"/>
        <v>0</v>
      </c>
      <c r="H152" s="239">
        <f t="shared" si="29"/>
        <v>0</v>
      </c>
      <c r="I152" s="239">
        <f t="shared" si="29"/>
        <v>0</v>
      </c>
      <c r="J152" s="240">
        <f t="shared" si="29"/>
        <v>0</v>
      </c>
      <c r="K152" s="485"/>
      <c r="L152" s="4"/>
      <c r="M152" s="4"/>
      <c r="N152" s="155"/>
      <c r="O152" s="155"/>
      <c r="P152" s="155"/>
      <c r="Q152" s="155"/>
    </row>
    <row r="153" spans="1:17" s="14" customFormat="1" ht="15.75" x14ac:dyDescent="0.2">
      <c r="A153" s="4"/>
      <c r="B153" s="623" t="str">
        <f>B81</f>
        <v>Drill sump</v>
      </c>
      <c r="C153" s="624"/>
      <c r="D153" s="624"/>
      <c r="E153" s="44" t="s">
        <v>133</v>
      </c>
      <c r="F153" s="239">
        <f t="shared" si="29"/>
        <v>0</v>
      </c>
      <c r="G153" s="239">
        <f t="shared" si="29"/>
        <v>0</v>
      </c>
      <c r="H153" s="239">
        <f t="shared" si="29"/>
        <v>0</v>
      </c>
      <c r="I153" s="239">
        <f t="shared" si="29"/>
        <v>0</v>
      </c>
      <c r="J153" s="240">
        <f t="shared" si="29"/>
        <v>0</v>
      </c>
      <c r="K153" s="485"/>
      <c r="L153" s="4"/>
      <c r="M153" s="4"/>
      <c r="N153" s="155"/>
      <c r="O153" s="155"/>
      <c r="P153" s="155"/>
      <c r="Q153" s="155"/>
    </row>
    <row r="154" spans="1:17" s="14" customFormat="1" ht="15.75" x14ac:dyDescent="0.2">
      <c r="A154" s="4"/>
      <c r="B154" s="621" t="str">
        <f>B86</f>
        <v>Flare pit</v>
      </c>
      <c r="C154" s="622"/>
      <c r="D154" s="622"/>
      <c r="E154" s="44" t="s">
        <v>133</v>
      </c>
      <c r="F154" s="239">
        <f t="shared" si="29"/>
        <v>0</v>
      </c>
      <c r="G154" s="239">
        <f t="shared" si="29"/>
        <v>0</v>
      </c>
      <c r="H154" s="239">
        <f t="shared" si="29"/>
        <v>0</v>
      </c>
      <c r="I154" s="239">
        <f t="shared" si="29"/>
        <v>0</v>
      </c>
      <c r="J154" s="240">
        <f t="shared" si="29"/>
        <v>0</v>
      </c>
      <c r="K154" s="485"/>
      <c r="L154" s="4"/>
      <c r="M154" s="4"/>
      <c r="N154" s="155"/>
      <c r="O154" s="155"/>
      <c r="P154" s="155"/>
      <c r="Q154" s="155"/>
    </row>
    <row r="155" spans="1:17" s="14" customFormat="1" x14ac:dyDescent="0.2">
      <c r="A155" s="4"/>
      <c r="B155" s="621" t="str">
        <f>B91</f>
        <v>Wastewater tank</v>
      </c>
      <c r="C155" s="622"/>
      <c r="D155" s="622"/>
      <c r="E155" s="44" t="s">
        <v>82</v>
      </c>
      <c r="F155" s="239">
        <f t="shared" si="29"/>
        <v>0</v>
      </c>
      <c r="G155" s="239">
        <f t="shared" si="29"/>
        <v>0</v>
      </c>
      <c r="H155" s="239">
        <f t="shared" si="29"/>
        <v>0</v>
      </c>
      <c r="I155" s="239">
        <f t="shared" si="29"/>
        <v>0</v>
      </c>
      <c r="J155" s="240">
        <f t="shared" si="29"/>
        <v>0</v>
      </c>
      <c r="K155" s="485"/>
      <c r="L155" s="4"/>
      <c r="M155" s="4"/>
      <c r="N155" s="155"/>
      <c r="O155" s="155"/>
      <c r="P155" s="155"/>
      <c r="Q155" s="155"/>
    </row>
    <row r="156" spans="1:17" s="14" customFormat="1" x14ac:dyDescent="0.2">
      <c r="A156" s="4"/>
      <c r="B156" s="621" t="str">
        <f>B92</f>
        <v>Wastewater treatment plant (camp)</v>
      </c>
      <c r="C156" s="622"/>
      <c r="D156" s="622"/>
      <c r="E156" s="44" t="s">
        <v>82</v>
      </c>
      <c r="F156" s="239">
        <f t="shared" si="29"/>
        <v>0</v>
      </c>
      <c r="G156" s="239">
        <f t="shared" si="29"/>
        <v>0</v>
      </c>
      <c r="H156" s="239">
        <f t="shared" si="29"/>
        <v>0</v>
      </c>
      <c r="I156" s="239">
        <f t="shared" si="29"/>
        <v>0</v>
      </c>
      <c r="J156" s="240">
        <f t="shared" si="29"/>
        <v>0</v>
      </c>
      <c r="K156" s="485"/>
      <c r="L156" s="4"/>
      <c r="M156" s="4"/>
      <c r="N156" s="155"/>
      <c r="O156" s="155"/>
      <c r="P156" s="155"/>
      <c r="Q156" s="155"/>
    </row>
    <row r="157" spans="1:17" s="14" customFormat="1" ht="15.75" x14ac:dyDescent="0.2">
      <c r="A157" s="4"/>
      <c r="B157" s="621" t="str">
        <f>B93</f>
        <v>Turkey's nest</v>
      </c>
      <c r="C157" s="622"/>
      <c r="D157" s="622"/>
      <c r="E157" s="44" t="s">
        <v>133</v>
      </c>
      <c r="F157" s="239">
        <f t="shared" si="29"/>
        <v>0</v>
      </c>
      <c r="G157" s="239">
        <f t="shared" si="29"/>
        <v>0</v>
      </c>
      <c r="H157" s="239">
        <f t="shared" si="29"/>
        <v>0</v>
      </c>
      <c r="I157" s="239">
        <f t="shared" si="29"/>
        <v>0</v>
      </c>
      <c r="J157" s="240">
        <f t="shared" si="29"/>
        <v>0</v>
      </c>
      <c r="K157" s="485"/>
      <c r="L157" s="4"/>
      <c r="M157" s="4"/>
      <c r="N157" s="155"/>
      <c r="O157" s="155"/>
      <c r="P157" s="155"/>
      <c r="Q157" s="155"/>
    </row>
    <row r="158" spans="1:17" s="14" customFormat="1" x14ac:dyDescent="0.2">
      <c r="A158" s="4"/>
      <c r="B158" s="621" t="str">
        <f>B98</f>
        <v>Camp capacity</v>
      </c>
      <c r="C158" s="622"/>
      <c r="D158" s="622"/>
      <c r="E158" s="44" t="s">
        <v>82</v>
      </c>
      <c r="F158" s="239">
        <f t="shared" si="29"/>
        <v>0</v>
      </c>
      <c r="G158" s="239">
        <f t="shared" si="29"/>
        <v>0</v>
      </c>
      <c r="H158" s="239">
        <f t="shared" si="29"/>
        <v>0</v>
      </c>
      <c r="I158" s="239">
        <f t="shared" si="29"/>
        <v>0</v>
      </c>
      <c r="J158" s="240">
        <f t="shared" si="29"/>
        <v>0</v>
      </c>
      <c r="K158" s="48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29"/>
        <v>0</v>
      </c>
      <c r="G159" s="239">
        <f t="shared" si="29"/>
        <v>0</v>
      </c>
      <c r="H159" s="239">
        <f t="shared" si="29"/>
        <v>0</v>
      </c>
      <c r="I159" s="239">
        <f t="shared" si="29"/>
        <v>0</v>
      </c>
      <c r="J159" s="240">
        <f t="shared" si="29"/>
        <v>0</v>
      </c>
      <c r="K159" s="48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29"/>
        <v>0</v>
      </c>
      <c r="G160" s="239">
        <f t="shared" si="29"/>
        <v>0</v>
      </c>
      <c r="H160" s="239">
        <f t="shared" si="29"/>
        <v>0</v>
      </c>
      <c r="I160" s="239">
        <f t="shared" si="29"/>
        <v>0</v>
      </c>
      <c r="J160" s="240">
        <f t="shared" si="29"/>
        <v>0</v>
      </c>
      <c r="K160" s="485"/>
      <c r="L160" s="4"/>
      <c r="M160" s="4"/>
      <c r="N160" s="155"/>
      <c r="O160" s="155"/>
      <c r="P160" s="155"/>
      <c r="Q160" s="155"/>
    </row>
    <row r="161" spans="1:18" s="14" customFormat="1" x14ac:dyDescent="0.2">
      <c r="A161" s="4"/>
      <c r="B161" s="621" t="str">
        <f>B104</f>
        <v>General waste</v>
      </c>
      <c r="C161" s="622"/>
      <c r="D161" s="622"/>
      <c r="E161" s="44" t="s">
        <v>177</v>
      </c>
      <c r="F161" s="239">
        <f t="shared" si="29"/>
        <v>0</v>
      </c>
      <c r="G161" s="239">
        <f t="shared" si="29"/>
        <v>0</v>
      </c>
      <c r="H161" s="239">
        <f t="shared" si="29"/>
        <v>0</v>
      </c>
      <c r="I161" s="239">
        <f t="shared" si="29"/>
        <v>0</v>
      </c>
      <c r="J161" s="240">
        <f t="shared" si="29"/>
        <v>0</v>
      </c>
      <c r="K161" s="485"/>
      <c r="L161" s="4"/>
      <c r="M161" s="4"/>
      <c r="N161" s="155"/>
      <c r="O161" s="155"/>
      <c r="P161" s="155"/>
      <c r="Q161" s="155"/>
    </row>
    <row r="162" spans="1:18" s="14" customFormat="1" x14ac:dyDescent="0.2">
      <c r="A162" s="4"/>
      <c r="B162" s="621" t="str">
        <f>B105</f>
        <v>Listed waste</v>
      </c>
      <c r="C162" s="622"/>
      <c r="D162" s="622"/>
      <c r="E162" s="44" t="s">
        <v>177</v>
      </c>
      <c r="F162" s="239">
        <f t="shared" si="29"/>
        <v>0</v>
      </c>
      <c r="G162" s="239">
        <f t="shared" si="29"/>
        <v>0</v>
      </c>
      <c r="H162" s="239">
        <f t="shared" si="29"/>
        <v>0</v>
      </c>
      <c r="I162" s="239">
        <f t="shared" si="29"/>
        <v>0</v>
      </c>
      <c r="J162" s="240">
        <f t="shared" si="29"/>
        <v>0</v>
      </c>
      <c r="K162" s="48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29"/>
        <v>0</v>
      </c>
      <c r="G163" s="239">
        <f t="shared" si="29"/>
        <v>0</v>
      </c>
      <c r="H163" s="239">
        <f t="shared" si="29"/>
        <v>0</v>
      </c>
      <c r="I163" s="239">
        <f t="shared" si="29"/>
        <v>0</v>
      </c>
      <c r="J163" s="240">
        <f t="shared" si="29"/>
        <v>0</v>
      </c>
      <c r="K163" s="485"/>
      <c r="L163" s="4"/>
      <c r="M163" s="4"/>
      <c r="N163" s="155"/>
      <c r="O163" s="155"/>
      <c r="P163" s="155"/>
      <c r="Q163" s="155"/>
    </row>
    <row r="164" spans="1:18" s="14" customFormat="1" x14ac:dyDescent="0.2">
      <c r="A164" s="4"/>
      <c r="B164" s="621" t="str">
        <f>B107</f>
        <v>Hydraulic Fracking Fluid</v>
      </c>
      <c r="C164" s="622"/>
      <c r="D164" s="622"/>
      <c r="E164" s="44" t="s">
        <v>181</v>
      </c>
      <c r="F164" s="239">
        <f t="shared" si="29"/>
        <v>0</v>
      </c>
      <c r="G164" s="239">
        <f t="shared" si="29"/>
        <v>0</v>
      </c>
      <c r="H164" s="239">
        <f t="shared" si="29"/>
        <v>0</v>
      </c>
      <c r="I164" s="239">
        <f t="shared" si="29"/>
        <v>0</v>
      </c>
      <c r="J164" s="240">
        <f t="shared" si="29"/>
        <v>0</v>
      </c>
      <c r="K164" s="48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29"/>
        <v>0</v>
      </c>
      <c r="G165" s="239">
        <f t="shared" si="29"/>
        <v>0</v>
      </c>
      <c r="H165" s="239">
        <f t="shared" si="29"/>
        <v>0</v>
      </c>
      <c r="I165" s="239">
        <f t="shared" si="29"/>
        <v>0</v>
      </c>
      <c r="J165" s="240">
        <f t="shared" si="29"/>
        <v>0</v>
      </c>
      <c r="K165" s="48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29"/>
        <v>0</v>
      </c>
      <c r="G166" s="239">
        <f t="shared" si="29"/>
        <v>0</v>
      </c>
      <c r="H166" s="239">
        <f t="shared" si="29"/>
        <v>0</v>
      </c>
      <c r="I166" s="239">
        <f t="shared" si="29"/>
        <v>0</v>
      </c>
      <c r="J166" s="240">
        <f t="shared" si="29"/>
        <v>0</v>
      </c>
      <c r="K166" s="48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29"/>
        <v>0</v>
      </c>
      <c r="G167" s="239">
        <f t="shared" si="29"/>
        <v>0</v>
      </c>
      <c r="H167" s="239">
        <f t="shared" si="29"/>
        <v>0</v>
      </c>
      <c r="I167" s="239">
        <f t="shared" si="29"/>
        <v>0</v>
      </c>
      <c r="J167" s="240">
        <f t="shared" si="29"/>
        <v>0</v>
      </c>
      <c r="K167" s="48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29"/>
        <v>0</v>
      </c>
      <c r="G168" s="239">
        <f t="shared" si="29"/>
        <v>0</v>
      </c>
      <c r="H168" s="239">
        <f t="shared" si="29"/>
        <v>0</v>
      </c>
      <c r="I168" s="239">
        <f t="shared" si="29"/>
        <v>0</v>
      </c>
      <c r="J168" s="240">
        <f t="shared" si="29"/>
        <v>0</v>
      </c>
      <c r="K168" s="48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29"/>
        <v>0</v>
      </c>
      <c r="G169" s="499">
        <f t="shared" si="29"/>
        <v>0</v>
      </c>
      <c r="H169" s="499">
        <f t="shared" si="29"/>
        <v>0</v>
      </c>
      <c r="I169" s="499">
        <f t="shared" si="29"/>
        <v>0</v>
      </c>
      <c r="J169" s="500">
        <f t="shared" si="29"/>
        <v>0</v>
      </c>
      <c r="K169" s="485"/>
      <c r="L169" s="4"/>
      <c r="M169" s="4"/>
      <c r="N169" s="155"/>
      <c r="O169" s="155"/>
      <c r="P169" s="155"/>
      <c r="Q169" s="155"/>
    </row>
    <row r="170" spans="1:18" x14ac:dyDescent="0.2">
      <c r="B170" s="32"/>
      <c r="O170" s="5"/>
      <c r="P170" s="5"/>
    </row>
    <row r="171" spans="1:18" ht="15" thickBot="1" x14ac:dyDescent="0.25">
      <c r="B171" s="207" t="str">
        <f ca="1">"Table "&amp;$N$9&amp;".4 Summary of security value by disturbance activity"</f>
        <v>Table 4.4 Summary of security value by disturbance activity</v>
      </c>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8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485"/>
      <c r="L173" s="4"/>
      <c r="M173" s="4"/>
    </row>
    <row r="174" spans="1:18" s="14" customFormat="1" x14ac:dyDescent="0.2">
      <c r="A174" s="4"/>
      <c r="B174" s="129" t="s">
        <v>23</v>
      </c>
      <c r="C174" s="619" t="str">
        <f t="shared" ref="C174:C209" si="30">B134</f>
        <v>Flowline right of ways - By track</v>
      </c>
      <c r="D174" s="620"/>
      <c r="E174" s="246">
        <f>SUMIF('Unit Rates'!J:J,$C174,'Unit Rates'!F:F)</f>
        <v>1242</v>
      </c>
      <c r="F174" s="243">
        <f t="shared" ref="F174:J189" si="31">$E174*F134</f>
        <v>0</v>
      </c>
      <c r="G174" s="243">
        <f t="shared" si="31"/>
        <v>0</v>
      </c>
      <c r="H174" s="243">
        <f t="shared" si="31"/>
        <v>0</v>
      </c>
      <c r="I174" s="243">
        <f t="shared" si="31"/>
        <v>0</v>
      </c>
      <c r="J174" s="244">
        <f t="shared" si="31"/>
        <v>0</v>
      </c>
      <c r="K174" s="485"/>
      <c r="L174" s="4"/>
      <c r="M174" s="4"/>
    </row>
    <row r="175" spans="1:18" s="14" customFormat="1" x14ac:dyDescent="0.2">
      <c r="A175" s="4"/>
      <c r="B175" s="129" t="s">
        <v>23</v>
      </c>
      <c r="C175" s="619" t="str">
        <f t="shared" si="30"/>
        <v>Flowline right of ways - Not by track</v>
      </c>
      <c r="D175" s="620"/>
      <c r="E175" s="246">
        <f>SUMIF('Unit Rates'!J:J,$C175,'Unit Rates'!F:F)</f>
        <v>2484</v>
      </c>
      <c r="F175" s="243">
        <f t="shared" si="31"/>
        <v>0</v>
      </c>
      <c r="G175" s="243">
        <f t="shared" si="31"/>
        <v>0</v>
      </c>
      <c r="H175" s="243">
        <f t="shared" si="31"/>
        <v>0</v>
      </c>
      <c r="I175" s="243">
        <f t="shared" si="31"/>
        <v>0</v>
      </c>
      <c r="J175" s="244">
        <f t="shared" si="31"/>
        <v>0</v>
      </c>
      <c r="K175" s="485"/>
      <c r="L175" s="4"/>
      <c r="M175" s="4"/>
    </row>
    <row r="176" spans="1:18" s="14" customFormat="1" x14ac:dyDescent="0.2">
      <c r="A176" s="4"/>
      <c r="B176" s="129" t="s">
        <v>23</v>
      </c>
      <c r="C176" s="619" t="str">
        <f t="shared" si="30"/>
        <v>Access track (existing)</v>
      </c>
      <c r="D176" s="620"/>
      <c r="E176" s="246">
        <f>SUMIF('Unit Rates'!J:J,$C176,'Unit Rates'!F:F)</f>
        <v>4553</v>
      </c>
      <c r="F176" s="243">
        <f t="shared" si="31"/>
        <v>0</v>
      </c>
      <c r="G176" s="243">
        <f t="shared" si="31"/>
        <v>0</v>
      </c>
      <c r="H176" s="243">
        <f t="shared" si="31"/>
        <v>0</v>
      </c>
      <c r="I176" s="243">
        <f t="shared" si="31"/>
        <v>0</v>
      </c>
      <c r="J176" s="244">
        <f t="shared" si="31"/>
        <v>0</v>
      </c>
      <c r="K176" s="485"/>
      <c r="L176" s="4"/>
      <c r="M176" s="4"/>
      <c r="N176" s="155"/>
      <c r="Q176" s="155"/>
      <c r="R176" s="155"/>
    </row>
    <row r="177" spans="1:20" s="14" customFormat="1" x14ac:dyDescent="0.2">
      <c r="A177" s="4"/>
      <c r="B177" s="129" t="s">
        <v>23</v>
      </c>
      <c r="C177" s="619" t="str">
        <f t="shared" si="30"/>
        <v>Access track (new) - No seeding</v>
      </c>
      <c r="D177" s="620"/>
      <c r="E177" s="246">
        <f>SUMIF('Unit Rates'!J:J,$C177,'Unit Rates'!F:F)</f>
        <v>3133</v>
      </c>
      <c r="F177" s="243">
        <f t="shared" si="31"/>
        <v>0</v>
      </c>
      <c r="G177" s="243">
        <f t="shared" si="31"/>
        <v>0</v>
      </c>
      <c r="H177" s="243">
        <f t="shared" si="31"/>
        <v>0</v>
      </c>
      <c r="I177" s="243">
        <f t="shared" si="31"/>
        <v>0</v>
      </c>
      <c r="J177" s="244">
        <f t="shared" si="31"/>
        <v>0</v>
      </c>
      <c r="K177" s="485"/>
      <c r="L177" s="4"/>
      <c r="M177" s="4"/>
      <c r="N177" s="155"/>
      <c r="Q177" s="155"/>
    </row>
    <row r="178" spans="1:20" s="14" customFormat="1" x14ac:dyDescent="0.2">
      <c r="A178" s="4"/>
      <c r="B178" s="129" t="s">
        <v>23</v>
      </c>
      <c r="C178" s="619" t="str">
        <f t="shared" si="30"/>
        <v>Access track (new) - With seeding</v>
      </c>
      <c r="D178" s="620"/>
      <c r="E178" s="246">
        <f>SUMIF('Unit Rates'!J:J,$C178,'Unit Rates'!F:F)</f>
        <v>3942</v>
      </c>
      <c r="F178" s="243">
        <f t="shared" si="31"/>
        <v>0</v>
      </c>
      <c r="G178" s="243">
        <f t="shared" si="31"/>
        <v>0</v>
      </c>
      <c r="H178" s="243">
        <f t="shared" si="31"/>
        <v>0</v>
      </c>
      <c r="I178" s="243">
        <f t="shared" si="31"/>
        <v>0</v>
      </c>
      <c r="J178" s="244">
        <f t="shared" si="31"/>
        <v>0</v>
      </c>
      <c r="K178" s="485"/>
      <c r="L178" s="4"/>
      <c r="M178" s="4"/>
      <c r="N178" s="155"/>
      <c r="Q178" s="155"/>
    </row>
    <row r="179" spans="1:20" s="14" customFormat="1" x14ac:dyDescent="0.2">
      <c r="A179" s="4"/>
      <c r="B179" s="129" t="s">
        <v>23</v>
      </c>
      <c r="C179" s="619" t="str">
        <f t="shared" si="30"/>
        <v>Laydown areas - With seeding, with ripping</v>
      </c>
      <c r="D179" s="620"/>
      <c r="E179" s="246">
        <f>SUMIF('Unit Rates'!J:J,$C179,'Unit Rates'!F:F)</f>
        <v>2879</v>
      </c>
      <c r="F179" s="243">
        <f t="shared" si="31"/>
        <v>0</v>
      </c>
      <c r="G179" s="243">
        <f t="shared" si="31"/>
        <v>0</v>
      </c>
      <c r="H179" s="243">
        <f t="shared" si="31"/>
        <v>0</v>
      </c>
      <c r="I179" s="243">
        <f t="shared" si="31"/>
        <v>0</v>
      </c>
      <c r="J179" s="244">
        <f t="shared" si="31"/>
        <v>0</v>
      </c>
      <c r="K179" s="485"/>
      <c r="L179" s="4"/>
      <c r="M179" s="4"/>
      <c r="N179" s="155"/>
      <c r="Q179" s="155"/>
    </row>
    <row r="180" spans="1:20" s="14" customFormat="1" x14ac:dyDescent="0.2">
      <c r="A180" s="4"/>
      <c r="B180" s="129" t="s">
        <v>23</v>
      </c>
      <c r="C180" s="619" t="str">
        <f t="shared" si="30"/>
        <v>Laydown areas - With seeding, no ripping</v>
      </c>
      <c r="D180" s="620"/>
      <c r="E180" s="246">
        <f>SUMIF('Unit Rates'!J:J,$C180,'Unit Rates'!F:F)</f>
        <v>2379</v>
      </c>
      <c r="F180" s="243">
        <f t="shared" si="31"/>
        <v>0</v>
      </c>
      <c r="G180" s="243">
        <f t="shared" si="31"/>
        <v>0</v>
      </c>
      <c r="H180" s="243">
        <f t="shared" si="31"/>
        <v>0</v>
      </c>
      <c r="I180" s="243">
        <f t="shared" si="31"/>
        <v>0</v>
      </c>
      <c r="J180" s="244">
        <f t="shared" si="31"/>
        <v>0</v>
      </c>
      <c r="K180" s="485"/>
      <c r="L180" s="4"/>
    </row>
    <row r="181" spans="1:20" s="14" customFormat="1" x14ac:dyDescent="0.2">
      <c r="A181" s="4"/>
      <c r="B181" s="129" t="s">
        <v>23</v>
      </c>
      <c r="C181" s="619" t="str">
        <f t="shared" si="30"/>
        <v>Laydown areas - No seeding, with ripping</v>
      </c>
      <c r="D181" s="620"/>
      <c r="E181" s="246">
        <f>SUMIF('Unit Rates'!J:J,$C181,'Unit Rates'!F:F)</f>
        <v>2070</v>
      </c>
      <c r="F181" s="243">
        <f t="shared" si="31"/>
        <v>0</v>
      </c>
      <c r="G181" s="243">
        <f t="shared" si="31"/>
        <v>0</v>
      </c>
      <c r="H181" s="243">
        <f t="shared" si="31"/>
        <v>0</v>
      </c>
      <c r="I181" s="243">
        <f t="shared" si="31"/>
        <v>0</v>
      </c>
      <c r="J181" s="244">
        <f t="shared" si="31"/>
        <v>0</v>
      </c>
      <c r="K181" s="485"/>
      <c r="L181" s="4"/>
    </row>
    <row r="182" spans="1:20" s="14" customFormat="1" x14ac:dyDescent="0.2">
      <c r="A182" s="4"/>
      <c r="B182" s="129" t="s">
        <v>23</v>
      </c>
      <c r="C182" s="619" t="str">
        <f t="shared" si="30"/>
        <v>Laydown areas - No seeding, no ripping</v>
      </c>
      <c r="D182" s="620"/>
      <c r="E182" s="246">
        <f>SUMIF('Unit Rates'!J:J,$C182,'Unit Rates'!F:F)</f>
        <v>1570</v>
      </c>
      <c r="F182" s="243">
        <f t="shared" si="31"/>
        <v>0</v>
      </c>
      <c r="G182" s="243">
        <f t="shared" si="31"/>
        <v>0</v>
      </c>
      <c r="H182" s="243">
        <f t="shared" si="31"/>
        <v>0</v>
      </c>
      <c r="I182" s="243">
        <f t="shared" si="31"/>
        <v>0</v>
      </c>
      <c r="J182" s="244">
        <f t="shared" si="31"/>
        <v>0</v>
      </c>
      <c r="K182" s="485"/>
      <c r="L182" s="4"/>
    </row>
    <row r="183" spans="1:20" s="14" customFormat="1" x14ac:dyDescent="0.2">
      <c r="A183" s="4"/>
      <c r="B183" s="40" t="s">
        <v>23</v>
      </c>
      <c r="C183" s="619" t="str">
        <f t="shared" si="30"/>
        <v>Gravel pits</v>
      </c>
      <c r="D183" s="620"/>
      <c r="E183" s="246">
        <f>SUMIF('Unit Rates'!J:J,$C183,'Unit Rates'!F:F)</f>
        <v>3076.67</v>
      </c>
      <c r="F183" s="243">
        <f t="shared" si="31"/>
        <v>0</v>
      </c>
      <c r="G183" s="243">
        <f t="shared" si="31"/>
        <v>0</v>
      </c>
      <c r="H183" s="243">
        <f t="shared" si="31"/>
        <v>0</v>
      </c>
      <c r="I183" s="243">
        <f t="shared" si="31"/>
        <v>0</v>
      </c>
      <c r="J183" s="244">
        <f t="shared" si="31"/>
        <v>0</v>
      </c>
      <c r="K183" s="485"/>
      <c r="L183" s="4"/>
    </row>
    <row r="184" spans="1:20" s="14" customFormat="1" x14ac:dyDescent="0.2">
      <c r="A184" s="4"/>
      <c r="B184" s="40" t="s">
        <v>23</v>
      </c>
      <c r="C184" s="619" t="str">
        <f t="shared" si="30"/>
        <v>Well pad</v>
      </c>
      <c r="D184" s="620"/>
      <c r="E184" s="246">
        <f>SUMIF('Unit Rates'!J:J,$C184,'Unit Rates'!F:F)</f>
        <v>5785</v>
      </c>
      <c r="F184" s="243">
        <f t="shared" si="31"/>
        <v>0</v>
      </c>
      <c r="G184" s="243">
        <f t="shared" si="31"/>
        <v>0</v>
      </c>
      <c r="H184" s="243">
        <f t="shared" si="31"/>
        <v>0</v>
      </c>
      <c r="I184" s="243">
        <f t="shared" si="31"/>
        <v>0</v>
      </c>
      <c r="J184" s="244">
        <f t="shared" si="31"/>
        <v>0</v>
      </c>
      <c r="K184" s="485"/>
      <c r="L184" s="4"/>
    </row>
    <row r="185" spans="1:20" s="14" customFormat="1" x14ac:dyDescent="0.2">
      <c r="A185" s="4"/>
      <c r="B185" s="40" t="s">
        <v>23</v>
      </c>
      <c r="C185" s="619" t="str">
        <f t="shared" si="30"/>
        <v>Camp - With seeding</v>
      </c>
      <c r="D185" s="620"/>
      <c r="E185" s="246">
        <f>SUMIF('Unit Rates'!J:J,$C185,'Unit Rates'!F:F)</f>
        <v>3439</v>
      </c>
      <c r="F185" s="243">
        <f t="shared" si="31"/>
        <v>0</v>
      </c>
      <c r="G185" s="243">
        <f t="shared" si="31"/>
        <v>0</v>
      </c>
      <c r="H185" s="243">
        <f t="shared" si="31"/>
        <v>0</v>
      </c>
      <c r="I185" s="243">
        <f t="shared" si="31"/>
        <v>0</v>
      </c>
      <c r="J185" s="244">
        <f t="shared" si="31"/>
        <v>0</v>
      </c>
      <c r="K185" s="485"/>
      <c r="L185" s="4"/>
    </row>
    <row r="186" spans="1:20" s="14" customFormat="1" x14ac:dyDescent="0.2">
      <c r="A186" s="4"/>
      <c r="B186" s="40" t="s">
        <v>23</v>
      </c>
      <c r="C186" s="619" t="str">
        <f t="shared" si="30"/>
        <v>Camp - No seeding</v>
      </c>
      <c r="D186" s="620"/>
      <c r="E186" s="246">
        <f>SUMIF('Unit Rates'!J:J,$C186,'Unit Rates'!F:F)</f>
        <v>2630</v>
      </c>
      <c r="F186" s="243">
        <f t="shared" si="31"/>
        <v>0</v>
      </c>
      <c r="G186" s="243">
        <f t="shared" si="31"/>
        <v>0</v>
      </c>
      <c r="H186" s="243">
        <f t="shared" si="31"/>
        <v>0</v>
      </c>
      <c r="I186" s="243">
        <f t="shared" si="31"/>
        <v>0</v>
      </c>
      <c r="J186" s="244">
        <f t="shared" si="31"/>
        <v>0</v>
      </c>
      <c r="K186" s="485"/>
      <c r="L186" s="4"/>
      <c r="M186" s="4"/>
      <c r="N186" s="4"/>
      <c r="O186" s="4"/>
      <c r="P186" s="4"/>
      <c r="Q186" s="4"/>
      <c r="R186" s="4"/>
      <c r="S186" s="4"/>
      <c r="T186" s="4"/>
    </row>
    <row r="187" spans="1:20" s="14" customFormat="1" x14ac:dyDescent="0.2">
      <c r="A187" s="4"/>
      <c r="B187" s="40" t="s">
        <v>23</v>
      </c>
      <c r="C187" s="619" t="str">
        <f t="shared" si="30"/>
        <v>Miscellaneous clearing - With seeding</v>
      </c>
      <c r="D187" s="620"/>
      <c r="E187" s="246">
        <f>SUMIF('Unit Rates'!J:J,$C187,'Unit Rates'!F:F)</f>
        <v>3439</v>
      </c>
      <c r="F187" s="243">
        <f t="shared" si="31"/>
        <v>0</v>
      </c>
      <c r="G187" s="243">
        <f t="shared" si="31"/>
        <v>0</v>
      </c>
      <c r="H187" s="243">
        <f t="shared" si="31"/>
        <v>0</v>
      </c>
      <c r="I187" s="243">
        <f t="shared" si="31"/>
        <v>0</v>
      </c>
      <c r="J187" s="244">
        <f t="shared" si="31"/>
        <v>0</v>
      </c>
      <c r="K187" s="485"/>
      <c r="L187" s="4"/>
      <c r="M187" s="4"/>
      <c r="N187" s="4"/>
      <c r="O187" s="4"/>
      <c r="P187" s="4"/>
      <c r="Q187" s="4"/>
      <c r="R187" s="4"/>
      <c r="S187" s="4"/>
      <c r="T187" s="4"/>
    </row>
    <row r="188" spans="1:20" s="14" customFormat="1" x14ac:dyDescent="0.2">
      <c r="A188" s="4"/>
      <c r="B188" s="40" t="s">
        <v>23</v>
      </c>
      <c r="C188" s="619" t="str">
        <f t="shared" si="30"/>
        <v>Miscellaneous clearing - No seeding</v>
      </c>
      <c r="D188" s="620"/>
      <c r="E188" s="246">
        <f>SUMIF('Unit Rates'!J:J,$C188,'Unit Rates'!F:F)</f>
        <v>2630</v>
      </c>
      <c r="F188" s="243">
        <f t="shared" si="31"/>
        <v>0</v>
      </c>
      <c r="G188" s="243">
        <f t="shared" si="31"/>
        <v>0</v>
      </c>
      <c r="H188" s="243">
        <f t="shared" si="31"/>
        <v>0</v>
      </c>
      <c r="I188" s="243">
        <f t="shared" si="31"/>
        <v>0</v>
      </c>
      <c r="J188" s="244">
        <f t="shared" si="31"/>
        <v>0</v>
      </c>
      <c r="K188" s="485"/>
      <c r="L188" s="4"/>
      <c r="M188" s="4"/>
      <c r="N188" s="4"/>
      <c r="O188" s="4"/>
      <c r="P188" s="4"/>
      <c r="Q188" s="4"/>
      <c r="R188" s="4"/>
      <c r="S188" s="4"/>
      <c r="T188" s="4"/>
    </row>
    <row r="189" spans="1:20" s="14" customFormat="1" x14ac:dyDescent="0.2">
      <c r="A189" s="4"/>
      <c r="B189" s="40" t="s">
        <v>32</v>
      </c>
      <c r="C189" s="619" t="str">
        <f t="shared" si="30"/>
        <v>Fencing</v>
      </c>
      <c r="D189" s="620"/>
      <c r="E189" s="247">
        <f>SUMIF('Unit Rates'!J:J,$C189,'Unit Rates'!F:F)</f>
        <v>2.5499999999999998</v>
      </c>
      <c r="F189" s="243">
        <f t="shared" si="31"/>
        <v>0</v>
      </c>
      <c r="G189" s="243">
        <f t="shared" si="31"/>
        <v>0</v>
      </c>
      <c r="H189" s="243">
        <f t="shared" si="31"/>
        <v>0</v>
      </c>
      <c r="I189" s="243">
        <f t="shared" si="31"/>
        <v>0</v>
      </c>
      <c r="J189" s="244">
        <f t="shared" si="31"/>
        <v>0</v>
      </c>
      <c r="K189" s="485"/>
      <c r="L189" s="4"/>
      <c r="M189" s="4"/>
      <c r="N189" s="4"/>
      <c r="O189" s="4"/>
      <c r="P189" s="4"/>
      <c r="Q189" s="4"/>
      <c r="R189" s="4"/>
      <c r="S189" s="4"/>
      <c r="T189" s="4"/>
    </row>
    <row r="190" spans="1:20" s="14" customFormat="1" x14ac:dyDescent="0.2">
      <c r="A190" s="4"/>
      <c r="B190" s="40" t="s">
        <v>32</v>
      </c>
      <c r="C190" s="619" t="str">
        <f t="shared" si="30"/>
        <v>Groundwater bore &lt; 70m TVD</v>
      </c>
      <c r="D190" s="620"/>
      <c r="E190" s="246">
        <f>SUMIF('Unit Rates'!J:J,$C190,'Unit Rates'!F:F)</f>
        <v>12150</v>
      </c>
      <c r="F190" s="243">
        <f t="shared" ref="F190:J197" si="32">$E190*F150</f>
        <v>0</v>
      </c>
      <c r="G190" s="243">
        <f t="shared" si="32"/>
        <v>0</v>
      </c>
      <c r="H190" s="243">
        <f t="shared" si="32"/>
        <v>0</v>
      </c>
      <c r="I190" s="243">
        <f t="shared" si="32"/>
        <v>0</v>
      </c>
      <c r="J190" s="244">
        <f t="shared" si="32"/>
        <v>0</v>
      </c>
      <c r="K190" s="485"/>
      <c r="L190" s="4"/>
      <c r="M190" s="4"/>
      <c r="N190" s="4"/>
      <c r="O190" s="4"/>
      <c r="P190" s="4"/>
      <c r="Q190" s="4"/>
      <c r="R190" s="4"/>
      <c r="S190" s="4"/>
      <c r="T190" s="4"/>
    </row>
    <row r="191" spans="1:20" s="14" customFormat="1" x14ac:dyDescent="0.2">
      <c r="A191" s="4"/>
      <c r="B191" s="40" t="s">
        <v>32</v>
      </c>
      <c r="C191" s="619" t="str">
        <f t="shared" si="30"/>
        <v>Groundwater bore ≥ 70m TVD</v>
      </c>
      <c r="D191" s="620"/>
      <c r="E191" s="246">
        <f>SUMIF('Unit Rates'!J:J,$C191,'Unit Rates'!F:F)</f>
        <v>15150</v>
      </c>
      <c r="F191" s="243">
        <f t="shared" si="32"/>
        <v>0</v>
      </c>
      <c r="G191" s="243">
        <f t="shared" si="32"/>
        <v>0</v>
      </c>
      <c r="H191" s="243">
        <f t="shared" si="32"/>
        <v>0</v>
      </c>
      <c r="I191" s="243">
        <f t="shared" si="32"/>
        <v>0</v>
      </c>
      <c r="J191" s="244">
        <f t="shared" si="32"/>
        <v>0</v>
      </c>
      <c r="K191" s="485"/>
      <c r="L191" s="4"/>
      <c r="M191" s="4"/>
      <c r="N191" s="4"/>
      <c r="Q191" s="4"/>
      <c r="R191" s="4"/>
      <c r="S191" s="4"/>
      <c r="T191" s="4"/>
    </row>
    <row r="192" spans="1:20" s="14" customFormat="1" x14ac:dyDescent="0.2">
      <c r="A192" s="4"/>
      <c r="B192" s="40" t="s">
        <v>32</v>
      </c>
      <c r="C192" s="619" t="str">
        <f t="shared" si="30"/>
        <v>Drill sump liners</v>
      </c>
      <c r="D192" s="620"/>
      <c r="E192" s="246">
        <f>SUMIF('Unit Rates'!J:J,$C192,'Unit Rates'!F:F)</f>
        <v>5050</v>
      </c>
      <c r="F192" s="243">
        <f t="shared" si="32"/>
        <v>0</v>
      </c>
      <c r="G192" s="243">
        <f t="shared" si="32"/>
        <v>0</v>
      </c>
      <c r="H192" s="243">
        <f t="shared" si="32"/>
        <v>0</v>
      </c>
      <c r="I192" s="243">
        <f t="shared" si="32"/>
        <v>0</v>
      </c>
      <c r="J192" s="244">
        <f t="shared" si="32"/>
        <v>0</v>
      </c>
      <c r="K192" s="485"/>
      <c r="L192" s="4"/>
      <c r="M192" s="4"/>
      <c r="N192" s="423">
        <v>0</v>
      </c>
      <c r="O192" s="424" t="s">
        <v>276</v>
      </c>
      <c r="R192" s="155"/>
    </row>
    <row r="193" spans="1:25" s="14" customFormat="1" x14ac:dyDescent="0.2">
      <c r="A193" s="4"/>
      <c r="B193" s="40" t="s">
        <v>32</v>
      </c>
      <c r="C193" s="619" t="str">
        <f t="shared" si="30"/>
        <v>Drill sump</v>
      </c>
      <c r="D193" s="620"/>
      <c r="E193" s="247">
        <f>SUMIF('Unit Rates'!J:J,$C193,'Unit Rates'!F:F)</f>
        <v>2.36</v>
      </c>
      <c r="F193" s="243">
        <f t="shared" si="32"/>
        <v>0</v>
      </c>
      <c r="G193" s="243">
        <f t="shared" si="32"/>
        <v>0</v>
      </c>
      <c r="H193" s="243">
        <f t="shared" si="32"/>
        <v>0</v>
      </c>
      <c r="I193" s="243">
        <f t="shared" si="32"/>
        <v>0</v>
      </c>
      <c r="J193" s="244">
        <f t="shared" si="32"/>
        <v>0</v>
      </c>
      <c r="K193" s="485"/>
      <c r="L193" s="4"/>
      <c r="M193" s="4"/>
      <c r="N193" s="151">
        <v>1</v>
      </c>
      <c r="O193" s="152" t="s">
        <v>211</v>
      </c>
      <c r="R193" s="155"/>
    </row>
    <row r="194" spans="1:25" s="14" customFormat="1" x14ac:dyDescent="0.2">
      <c r="A194" s="4"/>
      <c r="B194" s="40" t="s">
        <v>32</v>
      </c>
      <c r="C194" s="619" t="str">
        <f t="shared" si="30"/>
        <v>Flare pit</v>
      </c>
      <c r="D194" s="620"/>
      <c r="E194" s="247">
        <f>SUMIF('Unit Rates'!J:J,$C194,'Unit Rates'!F:F)</f>
        <v>2.36</v>
      </c>
      <c r="F194" s="243">
        <f t="shared" si="32"/>
        <v>0</v>
      </c>
      <c r="G194" s="243">
        <f t="shared" si="32"/>
        <v>0</v>
      </c>
      <c r="H194" s="243">
        <f t="shared" si="32"/>
        <v>0</v>
      </c>
      <c r="I194" s="243">
        <f t="shared" si="32"/>
        <v>0</v>
      </c>
      <c r="J194" s="244">
        <f t="shared" si="32"/>
        <v>0</v>
      </c>
      <c r="K194" s="485"/>
      <c r="L194" s="4"/>
      <c r="M194" s="4"/>
      <c r="N194" s="151">
        <v>2</v>
      </c>
      <c r="O194" s="152" t="s">
        <v>212</v>
      </c>
      <c r="R194" s="155"/>
    </row>
    <row r="195" spans="1:25" s="14" customFormat="1" x14ac:dyDescent="0.2">
      <c r="A195" s="4"/>
      <c r="B195" s="40" t="s">
        <v>32</v>
      </c>
      <c r="C195" s="619" t="str">
        <f t="shared" si="30"/>
        <v>Wastewater tank</v>
      </c>
      <c r="D195" s="620"/>
      <c r="E195" s="246">
        <f>SUMIF('Unit Rates'!J:J,$C195,'Unit Rates'!F:F)</f>
        <v>15100</v>
      </c>
      <c r="F195" s="243">
        <f t="shared" si="32"/>
        <v>0</v>
      </c>
      <c r="G195" s="243">
        <f t="shared" si="32"/>
        <v>0</v>
      </c>
      <c r="H195" s="243">
        <f t="shared" si="32"/>
        <v>0</v>
      </c>
      <c r="I195" s="243">
        <f t="shared" si="32"/>
        <v>0</v>
      </c>
      <c r="J195" s="244">
        <f t="shared" si="32"/>
        <v>0</v>
      </c>
      <c r="K195" s="485"/>
      <c r="L195" s="4"/>
      <c r="M195" s="4"/>
      <c r="N195" s="425">
        <v>3</v>
      </c>
      <c r="O195" s="426" t="s">
        <v>213</v>
      </c>
      <c r="R195" s="155"/>
    </row>
    <row r="196" spans="1:25" s="14" customFormat="1" x14ac:dyDescent="0.2">
      <c r="A196" s="4"/>
      <c r="B196" s="40" t="s">
        <v>32</v>
      </c>
      <c r="C196" s="619" t="str">
        <f t="shared" si="30"/>
        <v>Wastewater treatment plant (camp)</v>
      </c>
      <c r="D196" s="620"/>
      <c r="E196" s="246">
        <f>SUMIF('Unit Rates'!J:J,$C196,'Unit Rates'!F:F)</f>
        <v>7850</v>
      </c>
      <c r="F196" s="243">
        <f t="shared" si="32"/>
        <v>0</v>
      </c>
      <c r="G196" s="243">
        <f t="shared" si="32"/>
        <v>0</v>
      </c>
      <c r="H196" s="243">
        <f t="shared" si="32"/>
        <v>0</v>
      </c>
      <c r="I196" s="243">
        <f t="shared" si="32"/>
        <v>0</v>
      </c>
      <c r="J196" s="244">
        <f t="shared" si="32"/>
        <v>0</v>
      </c>
      <c r="K196" s="485"/>
      <c r="L196" s="4"/>
      <c r="M196" s="4"/>
      <c r="N196" s="425">
        <v>4</v>
      </c>
      <c r="O196" s="426" t="s">
        <v>214</v>
      </c>
      <c r="R196" s="155"/>
    </row>
    <row r="197" spans="1:25" s="14" customFormat="1" x14ac:dyDescent="0.2">
      <c r="A197" s="4"/>
      <c r="B197" s="40" t="s">
        <v>32</v>
      </c>
      <c r="C197" s="619" t="str">
        <f t="shared" si="30"/>
        <v>Turkey's nest</v>
      </c>
      <c r="D197" s="620"/>
      <c r="E197" s="247">
        <f>SUMIF('Unit Rates'!J:J,$C197,'Unit Rates'!F:F)</f>
        <v>2.36</v>
      </c>
      <c r="F197" s="243">
        <f t="shared" si="32"/>
        <v>0</v>
      </c>
      <c r="G197" s="243">
        <f t="shared" si="32"/>
        <v>0</v>
      </c>
      <c r="H197" s="243">
        <f t="shared" si="32"/>
        <v>0</v>
      </c>
      <c r="I197" s="243">
        <f t="shared" si="32"/>
        <v>0</v>
      </c>
      <c r="J197" s="244">
        <f t="shared" si="32"/>
        <v>0</v>
      </c>
      <c r="K197" s="485"/>
      <c r="L197" s="4"/>
      <c r="M197" s="4"/>
      <c r="N197" s="427">
        <v>5</v>
      </c>
      <c r="O197" s="428" t="s">
        <v>215</v>
      </c>
      <c r="P197" s="155"/>
      <c r="Q197" s="167"/>
      <c r="R197" s="155"/>
    </row>
    <row r="198" spans="1:25" s="14" customFormat="1" x14ac:dyDescent="0.2">
      <c r="A198" s="4"/>
      <c r="B198" s="40" t="s">
        <v>32</v>
      </c>
      <c r="C198" s="619" t="str">
        <f t="shared" si="30"/>
        <v>Camp capacity</v>
      </c>
      <c r="D198" s="620"/>
      <c r="E198" s="246" t="s">
        <v>210</v>
      </c>
      <c r="F198" s="243">
        <f>IF(F98&lt;21,F99*45000,(IF(AND(F98&gt;=21,F98&lt;51),F99*65000,(IF(AND(F98&gt;=51,F98&lt;101),F99*95000,(IF(AND(F98&gt;=101,F98&lt;151),F99*140000,(IF(F98&gt;=151,F99*170000,0)))))))))</f>
        <v>0</v>
      </c>
      <c r="G198" s="243">
        <f t="shared" ref="G198:J198" si="33">IF(G98&lt;21,G99*45000,(IF(AND(G98&gt;=21,G98&lt;51),G99*65000,(IF(AND(G98&gt;=51,G98&lt;101),G99*95000,(IF(AND(G98&gt;=101,G98&lt;151),G99*140000,(IF(G98&gt;=151,G99*170000,0)))))))))</f>
        <v>0</v>
      </c>
      <c r="H198" s="243">
        <f t="shared" si="33"/>
        <v>0</v>
      </c>
      <c r="I198" s="243">
        <f t="shared" si="33"/>
        <v>0</v>
      </c>
      <c r="J198" s="244">
        <f t="shared" si="33"/>
        <v>0</v>
      </c>
      <c r="K198" s="485"/>
      <c r="L198" s="4"/>
      <c r="M198" s="4"/>
      <c r="N198" s="4"/>
      <c r="O198" s="4"/>
      <c r="P198" s="4"/>
      <c r="Q198" s="4"/>
      <c r="R198" s="4"/>
      <c r="S198" s="4"/>
      <c r="T198" s="4"/>
      <c r="U198" s="4"/>
      <c r="V198" s="4"/>
      <c r="W198" s="4"/>
      <c r="X198" s="4"/>
      <c r="Y198" s="4"/>
    </row>
    <row r="199" spans="1:25" s="14" customFormat="1" x14ac:dyDescent="0.2">
      <c r="A199" s="4"/>
      <c r="B199" s="40" t="s">
        <v>32</v>
      </c>
      <c r="C199" s="619" t="str">
        <f t="shared" si="30"/>
        <v>Flowlines / pipelines - Above and below ground</v>
      </c>
      <c r="D199" s="620"/>
      <c r="E199" s="246">
        <f>SUMIF('Unit Rates'!J:J,$C199,'Unit Rates'!F:F)</f>
        <v>12.1</v>
      </c>
      <c r="F199" s="243">
        <f t="shared" ref="F199:J200" si="34">$E199*F159</f>
        <v>0</v>
      </c>
      <c r="G199" s="243">
        <f t="shared" si="34"/>
        <v>0</v>
      </c>
      <c r="H199" s="243">
        <f t="shared" si="34"/>
        <v>0</v>
      </c>
      <c r="I199" s="243">
        <f t="shared" si="34"/>
        <v>0</v>
      </c>
      <c r="J199" s="244">
        <f t="shared" si="34"/>
        <v>0</v>
      </c>
      <c r="K199" s="485"/>
      <c r="L199" s="4"/>
      <c r="M199" s="4"/>
      <c r="N199" s="4"/>
      <c r="O199" s="4"/>
      <c r="P199" s="4"/>
      <c r="Q199" s="4"/>
      <c r="R199" s="4"/>
      <c r="S199" s="4"/>
      <c r="T199" s="4"/>
      <c r="U199" s="4"/>
      <c r="V199" s="4"/>
      <c r="W199" s="4"/>
      <c r="X199" s="4"/>
      <c r="Y199" s="4"/>
    </row>
    <row r="200" spans="1:25" s="14" customFormat="1" x14ac:dyDescent="0.2">
      <c r="A200" s="4"/>
      <c r="B200" s="40" t="s">
        <v>32</v>
      </c>
      <c r="C200" s="634" t="str">
        <f t="shared" si="30"/>
        <v>Contaminated soil testing  - Per well pad</v>
      </c>
      <c r="D200" s="625"/>
      <c r="E200" s="246">
        <f>SUMIF('Unit Rates'!J:J,$C200,'Unit Rates'!F:F)</f>
        <v>65500</v>
      </c>
      <c r="F200" s="243">
        <f t="shared" si="34"/>
        <v>0</v>
      </c>
      <c r="G200" s="243">
        <f t="shared" si="34"/>
        <v>0</v>
      </c>
      <c r="H200" s="243">
        <f t="shared" si="34"/>
        <v>0</v>
      </c>
      <c r="I200" s="243">
        <f t="shared" si="34"/>
        <v>0</v>
      </c>
      <c r="J200" s="244">
        <f t="shared" si="34"/>
        <v>0</v>
      </c>
      <c r="K200" s="485"/>
      <c r="L200" s="4"/>
      <c r="M200" s="4"/>
      <c r="N200" s="4"/>
      <c r="O200" s="4"/>
      <c r="P200" s="4"/>
      <c r="Q200" s="4"/>
      <c r="R200" s="4"/>
      <c r="S200" s="4"/>
      <c r="T200" s="4"/>
      <c r="U200" s="4"/>
      <c r="V200" s="4"/>
      <c r="W200" s="4"/>
      <c r="X200" s="4"/>
      <c r="Y200" s="4"/>
    </row>
    <row r="201" spans="1:25" s="14" customFormat="1" x14ac:dyDescent="0.2">
      <c r="A201" s="4"/>
      <c r="B201" s="40" t="s">
        <v>35</v>
      </c>
      <c r="C201" s="619" t="str">
        <f t="shared" si="30"/>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485"/>
      <c r="L201" s="4"/>
      <c r="M201" s="4"/>
      <c r="N201" s="4"/>
      <c r="O201" s="4"/>
      <c r="P201" s="4"/>
      <c r="Q201" s="4"/>
      <c r="R201" s="4"/>
      <c r="S201" s="4"/>
      <c r="T201" s="4"/>
      <c r="U201" s="4"/>
      <c r="V201" s="4"/>
      <c r="W201" s="4"/>
      <c r="X201" s="4"/>
      <c r="Y201" s="4"/>
    </row>
    <row r="202" spans="1:25" s="14" customFormat="1" x14ac:dyDescent="0.2">
      <c r="A202" s="4"/>
      <c r="B202" s="40" t="s">
        <v>35</v>
      </c>
      <c r="C202" s="619" t="str">
        <f t="shared" si="30"/>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485"/>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30"/>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485"/>
      <c r="M203" s="4"/>
      <c r="N203" s="4"/>
      <c r="O203" s="39" t="s">
        <v>216</v>
      </c>
      <c r="P203" s="39" t="s">
        <v>217</v>
      </c>
      <c r="Q203" s="39" t="s">
        <v>218</v>
      </c>
      <c r="R203" s="14" t="s">
        <v>219</v>
      </c>
      <c r="S203" s="14" t="s">
        <v>220</v>
      </c>
    </row>
    <row r="204" spans="1:25" s="14" customFormat="1" x14ac:dyDescent="0.2">
      <c r="A204" s="474"/>
      <c r="B204" s="40" t="s">
        <v>35</v>
      </c>
      <c r="C204" s="619" t="str">
        <f t="shared" si="30"/>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30"/>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485"/>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30"/>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485"/>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30"/>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485"/>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30"/>
        <v>Liners</v>
      </c>
      <c r="D208" s="620"/>
      <c r="E208" s="246">
        <f>SUMIF('Unit Rates'!J:J,$C208,'Unit Rates'!F:F)</f>
        <v>9576</v>
      </c>
      <c r="F208" s="243">
        <f>$E208*F168</f>
        <v>0</v>
      </c>
      <c r="G208" s="243">
        <f>$E208*G168</f>
        <v>0</v>
      </c>
      <c r="H208" s="243">
        <f>$E208*H168</f>
        <v>0</v>
      </c>
      <c r="I208" s="243">
        <f>$E208*I168</f>
        <v>0</v>
      </c>
      <c r="J208" s="244">
        <f>$E208*J168</f>
        <v>0</v>
      </c>
      <c r="K208" s="485"/>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30"/>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454"/>
      <c r="E210" s="485"/>
      <c r="F210" s="485"/>
      <c r="G210" s="485"/>
      <c r="H210" s="485"/>
      <c r="I210" s="485"/>
      <c r="J210" s="485"/>
      <c r="K210" s="485"/>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yj+pgepbZY56AS6jL2xa0Cx8JjPvp8EWeD87FgJHnFWc3RyPDt2PnbyJIAACGZBE4ATCSi+3i7TL84qTT85fqA==" saltValue="ZHg25SSaq3rbxiYqC1Xipw==" spinCount="100000" sheet="1" objects="1" scenarios="1"/>
  <mergeCells count="147">
    <mergeCell ref="C206:D206"/>
    <mergeCell ref="C207:D207"/>
    <mergeCell ref="C208:D208"/>
    <mergeCell ref="C209:D209"/>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B168:D168"/>
    <mergeCell ref="B169:D169"/>
    <mergeCell ref="B172:D172"/>
    <mergeCell ref="C173:D173"/>
    <mergeCell ref="C174:D174"/>
    <mergeCell ref="C175:D175"/>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93:B97"/>
    <mergeCell ref="C93:C97"/>
    <mergeCell ref="K93:K97"/>
    <mergeCell ref="B98:B99"/>
    <mergeCell ref="C98:C99"/>
    <mergeCell ref="K98:K99"/>
    <mergeCell ref="B81:B85"/>
    <mergeCell ref="C81:C85"/>
    <mergeCell ref="K81:K85"/>
    <mergeCell ref="B86:B90"/>
    <mergeCell ref="C86:C90"/>
    <mergeCell ref="K86:K90"/>
    <mergeCell ref="B60:B62"/>
    <mergeCell ref="C60:C62"/>
    <mergeCell ref="K60:K62"/>
    <mergeCell ref="L60:L62"/>
    <mergeCell ref="B63:B65"/>
    <mergeCell ref="C63:C65"/>
    <mergeCell ref="K63:K65"/>
    <mergeCell ref="L63:L65"/>
    <mergeCell ref="B52:B55"/>
    <mergeCell ref="C52:C55"/>
    <mergeCell ref="K52:K55"/>
    <mergeCell ref="L52:L55"/>
    <mergeCell ref="B56:B59"/>
    <mergeCell ref="C56:C59"/>
    <mergeCell ref="K56:K59"/>
    <mergeCell ref="L56:L59"/>
    <mergeCell ref="B46:B48"/>
    <mergeCell ref="C46:C48"/>
    <mergeCell ref="K46:K48"/>
    <mergeCell ref="L46:L48"/>
    <mergeCell ref="B49:B51"/>
    <mergeCell ref="C49:C51"/>
    <mergeCell ref="K49:K51"/>
    <mergeCell ref="L49:L51"/>
    <mergeCell ref="B40:B42"/>
    <mergeCell ref="C40:C42"/>
    <mergeCell ref="K40:K42"/>
    <mergeCell ref="L40:L42"/>
    <mergeCell ref="B43:B45"/>
    <mergeCell ref="C43:C45"/>
    <mergeCell ref="K43:K45"/>
    <mergeCell ref="L43:L45"/>
    <mergeCell ref="B37:B39"/>
    <mergeCell ref="C37:C39"/>
    <mergeCell ref="K37:K39"/>
    <mergeCell ref="L37:L39"/>
    <mergeCell ref="B26:B28"/>
    <mergeCell ref="C26:C28"/>
    <mergeCell ref="K26:K28"/>
    <mergeCell ref="L26:L28"/>
    <mergeCell ref="B31:B33"/>
    <mergeCell ref="C31:C33"/>
    <mergeCell ref="K31:K33"/>
    <mergeCell ref="L31:L33"/>
    <mergeCell ref="B3:G3"/>
    <mergeCell ref="B4:G16"/>
    <mergeCell ref="I11:L11"/>
    <mergeCell ref="I12:L15"/>
    <mergeCell ref="B19:L20"/>
    <mergeCell ref="B21:L22"/>
    <mergeCell ref="B34:B36"/>
    <mergeCell ref="C34:C36"/>
    <mergeCell ref="K34:K36"/>
    <mergeCell ref="L34:L36"/>
    <mergeCell ref="I5:K5"/>
    <mergeCell ref="I6:K6"/>
    <mergeCell ref="I7:K7"/>
    <mergeCell ref="I8:K8"/>
    <mergeCell ref="I9:K9"/>
  </mergeCells>
  <dataValidations count="2">
    <dataValidation type="list" allowBlank="1" showInputMessage="1" showErrorMessage="1" sqref="F117:J117 F112:J112 F127:J127 F122:J122">
      <formula1>"0,1,2,3,4,5"</formula1>
    </dataValidation>
    <dataValidation type="list" allowBlank="1" showInputMessage="1" showErrorMessage="1" sqref="L7">
      <formula1>" ,HydrEra Facility,Westrex Facility"</formula1>
    </dataValidation>
  </dataValidations>
  <pageMargins left="0.25" right="0.25" top="0.75" bottom="0.75" header="0.3" footer="0.3"/>
  <pageSetup paperSize="8"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S225"/>
  <sheetViews>
    <sheetView zoomScaleNormal="100" workbookViewId="0">
      <selection activeCell="C1" sqref="C1"/>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485"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Title_05</v>
      </c>
      <c r="C1" s="140"/>
      <c r="K1" s="142"/>
      <c r="L1" s="140"/>
      <c r="M1" s="140"/>
      <c r="N1" s="140"/>
      <c r="O1" s="140"/>
      <c r="P1" s="140"/>
      <c r="Q1" s="140"/>
    </row>
    <row r="2" spans="1:45" x14ac:dyDescent="0.2">
      <c r="B2" s="5"/>
      <c r="J2" s="14"/>
    </row>
    <row r="3" spans="1:45" s="78" customFormat="1" ht="18" x14ac:dyDescent="0.25">
      <c r="A3" s="77"/>
      <c r="B3" s="660" t="s">
        <v>7</v>
      </c>
      <c r="C3" s="661"/>
      <c r="D3" s="661"/>
      <c r="E3" s="661"/>
      <c r="F3" s="661"/>
      <c r="G3" s="661"/>
      <c r="H3" s="14"/>
      <c r="I3" s="207" t="str">
        <f ca="1">"Table "&amp;$N$9&amp;".1 General Title details"</f>
        <v>Table 5.1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5</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485"/>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5.2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486"/>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492" t="s">
        <v>52</v>
      </c>
      <c r="C24" s="493" t="s">
        <v>54</v>
      </c>
      <c r="D24" s="37" t="s">
        <v>55</v>
      </c>
      <c r="E24" s="37"/>
      <c r="F24" s="23" t="s">
        <v>17</v>
      </c>
      <c r="G24" s="23" t="s">
        <v>150</v>
      </c>
      <c r="H24" s="23" t="s">
        <v>19</v>
      </c>
      <c r="I24" s="23" t="s">
        <v>20</v>
      </c>
      <c r="J24" s="23" t="s">
        <v>21</v>
      </c>
      <c r="K24" s="493" t="s">
        <v>2</v>
      </c>
      <c r="L24" s="494" t="s">
        <v>151</v>
      </c>
      <c r="M24" s="155"/>
      <c r="N24" s="36"/>
      <c r="O24" s="36"/>
      <c r="P24" s="36"/>
      <c r="Q24" s="36"/>
    </row>
    <row r="25" spans="1:45" s="156" customFormat="1" ht="18.75" thickBot="1" x14ac:dyDescent="0.3">
      <c r="A25" s="77"/>
      <c r="B25" s="211" t="str">
        <f ca="1">"Table "&amp;$N$9&amp;".2.1 Rehabilitation activities"</f>
        <v>Table 5.2.1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O41" si="0">IF(B26="",N25,B26)</f>
        <v>Seismic lines</v>
      </c>
      <c r="O26" s="213" t="str">
        <f>IF(C26="",O8,C26)</f>
        <v>-</v>
      </c>
      <c r="P26" s="213" t="str">
        <f t="shared" ref="P26:P67" si="1">IF(Q26=1,IF(O26&lt;&gt;"-",N26&amp;" - "&amp;O26,N26),"")</f>
        <v/>
      </c>
      <c r="Q26" s="214"/>
      <c r="R26" s="215" t="str">
        <f t="shared" ref="R26:R67"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si="0"/>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0"/>
        <v>-</v>
      </c>
      <c r="P28" s="213" t="str">
        <f t="shared" si="1"/>
        <v>Seismic lines</v>
      </c>
      <c r="Q28" s="214">
        <v>1</v>
      </c>
      <c r="R28" s="215" t="str">
        <f t="shared" si="2"/>
        <v>ha</v>
      </c>
    </row>
    <row r="29" spans="1:45" s="14" customFormat="1" ht="28.5" outlineLevel="1" x14ac:dyDescent="0.2">
      <c r="A29" s="4"/>
      <c r="B29" s="451" t="s">
        <v>277</v>
      </c>
      <c r="C29" s="488"/>
      <c r="D29" s="49" t="s">
        <v>103</v>
      </c>
      <c r="E29" s="50" t="s">
        <v>136</v>
      </c>
      <c r="F29" s="222">
        <v>0</v>
      </c>
      <c r="G29" s="222">
        <v>0</v>
      </c>
      <c r="H29" s="222">
        <v>0</v>
      </c>
      <c r="I29" s="222">
        <v>0</v>
      </c>
      <c r="J29" s="222">
        <v>0</v>
      </c>
      <c r="K29" s="473" t="s">
        <v>301</v>
      </c>
      <c r="L29" s="489"/>
      <c r="M29" s="4"/>
      <c r="N29" s="216" t="str">
        <f t="shared" si="0"/>
        <v>Flowline right of ways - By track</v>
      </c>
      <c r="O29" s="213" t="str">
        <f t="shared" si="0"/>
        <v>-</v>
      </c>
      <c r="P29" s="213" t="str">
        <f t="shared" si="1"/>
        <v>Flowline right of ways - By track</v>
      </c>
      <c r="Q29" s="214">
        <v>1</v>
      </c>
      <c r="R29" s="215" t="str">
        <f t="shared" si="2"/>
        <v>km</v>
      </c>
    </row>
    <row r="30" spans="1:45" s="14" customFormat="1" ht="28.5" outlineLevel="1" x14ac:dyDescent="0.2">
      <c r="A30" s="4"/>
      <c r="B30" s="451" t="s">
        <v>278</v>
      </c>
      <c r="C30" s="488"/>
      <c r="D30" s="49" t="s">
        <v>103</v>
      </c>
      <c r="E30" s="50" t="s">
        <v>136</v>
      </c>
      <c r="F30" s="222">
        <v>0</v>
      </c>
      <c r="G30" s="222">
        <v>0</v>
      </c>
      <c r="H30" s="222">
        <v>0</v>
      </c>
      <c r="I30" s="222">
        <v>0</v>
      </c>
      <c r="J30" s="222">
        <v>0</v>
      </c>
      <c r="K30" s="473" t="s">
        <v>301</v>
      </c>
      <c r="L30" s="489"/>
      <c r="M30" s="4"/>
      <c r="N30" s="216" t="str">
        <f t="shared" si="0"/>
        <v>Flowline right of ways - Not by track</v>
      </c>
      <c r="O30" s="213" t="str">
        <f t="shared" si="0"/>
        <v>-</v>
      </c>
      <c r="P30" s="213" t="str">
        <f t="shared" si="1"/>
        <v>Flowline right of ways - Not by track</v>
      </c>
      <c r="Q30" s="214">
        <v>1</v>
      </c>
      <c r="R30" s="215" t="str">
        <f t="shared" si="2"/>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0"/>
        <v>Access track (existing)</v>
      </c>
      <c r="O31" s="213" t="str">
        <f t="shared" si="0"/>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0"/>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0"/>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0"/>
        <v>No seeding</v>
      </c>
      <c r="P34" s="213" t="str">
        <f t="shared" si="1"/>
        <v/>
      </c>
      <c r="Q34" s="214"/>
      <c r="R34" s="215" t="str">
        <f t="shared" si="2"/>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0"/>
        <v>No seeding</v>
      </c>
      <c r="P35" s="213" t="str">
        <f t="shared" si="1"/>
        <v/>
      </c>
      <c r="Q35" s="214"/>
      <c r="R35" s="215" t="str">
        <f t="shared" si="2"/>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0"/>
        <v>No seeding</v>
      </c>
      <c r="P36" s="213" t="str">
        <f t="shared" si="1"/>
        <v>Access track (new) - No seeding</v>
      </c>
      <c r="Q36" s="214">
        <v>1</v>
      </c>
      <c r="R36" s="215" t="str">
        <f t="shared" si="2"/>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0"/>
        <v>With seeding</v>
      </c>
      <c r="P37" s="213" t="str">
        <f t="shared" si="1"/>
        <v/>
      </c>
      <c r="Q37" s="214"/>
      <c r="R37" s="215" t="str">
        <f t="shared" si="2"/>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0"/>
        <v>With seeding</v>
      </c>
      <c r="P38" s="213" t="str">
        <f t="shared" si="1"/>
        <v/>
      </c>
      <c r="Q38" s="214"/>
      <c r="R38" s="215" t="str">
        <f t="shared" si="2"/>
        <v>m</v>
      </c>
    </row>
    <row r="39" spans="1:18" s="14" customFormat="1" outlineLevel="1" x14ac:dyDescent="0.2">
      <c r="A39" s="4"/>
      <c r="B39" s="653"/>
      <c r="C39" s="641"/>
      <c r="D39" s="49" t="s">
        <v>155</v>
      </c>
      <c r="E39" s="50" t="s">
        <v>64</v>
      </c>
      <c r="F39" s="221">
        <f t="shared" ref="F39:J39" si="3">((F37*1000)*F38)/10000</f>
        <v>0</v>
      </c>
      <c r="G39" s="221">
        <f t="shared" si="3"/>
        <v>0</v>
      </c>
      <c r="H39" s="221">
        <f t="shared" si="3"/>
        <v>0</v>
      </c>
      <c r="I39" s="221">
        <f t="shared" si="3"/>
        <v>0</v>
      </c>
      <c r="J39" s="221">
        <f t="shared" si="3"/>
        <v>0</v>
      </c>
      <c r="K39" s="611"/>
      <c r="L39" s="610"/>
      <c r="M39" s="4"/>
      <c r="N39" s="216" t="str">
        <f t="shared" si="0"/>
        <v>Access track (new)</v>
      </c>
      <c r="O39" s="213" t="str">
        <f t="shared" si="0"/>
        <v>With seeding</v>
      </c>
      <c r="P39" s="213" t="str">
        <f t="shared" si="1"/>
        <v>Access track (new) - With seeding</v>
      </c>
      <c r="Q39" s="214">
        <v>1</v>
      </c>
      <c r="R39" s="215" t="str">
        <f t="shared" si="2"/>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si="0"/>
        <v>With seeding, with ripping</v>
      </c>
      <c r="P40" s="213" t="str">
        <f t="shared" si="1"/>
        <v/>
      </c>
      <c r="Q40" s="214"/>
      <c r="R40" s="215" t="str">
        <f t="shared" si="2"/>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0"/>
        <v>With seeding, with ripping</v>
      </c>
      <c r="P41" s="213" t="str">
        <f t="shared" si="1"/>
        <v/>
      </c>
      <c r="Q41" s="214"/>
      <c r="R41" s="215" t="str">
        <f t="shared" si="2"/>
        <v>m</v>
      </c>
    </row>
    <row r="42" spans="1:18" s="14" customFormat="1" outlineLevel="1" x14ac:dyDescent="0.2">
      <c r="A42" s="4"/>
      <c r="B42" s="645"/>
      <c r="C42" s="648"/>
      <c r="D42" s="49" t="s">
        <v>155</v>
      </c>
      <c r="E42" s="50" t="s">
        <v>64</v>
      </c>
      <c r="F42" s="221">
        <f>(F40*F41)/10^4</f>
        <v>0</v>
      </c>
      <c r="G42" s="221">
        <f t="shared" ref="G42:J42" si="4">(G40*G41)/10^4</f>
        <v>0</v>
      </c>
      <c r="H42" s="221">
        <f t="shared" si="4"/>
        <v>0</v>
      </c>
      <c r="I42" s="221">
        <f t="shared" si="4"/>
        <v>0</v>
      </c>
      <c r="J42" s="221">
        <f t="shared" si="4"/>
        <v>0</v>
      </c>
      <c r="K42" s="617"/>
      <c r="L42" s="614"/>
      <c r="M42" s="4"/>
      <c r="N42" s="216" t="str">
        <f t="shared" ref="N42:O57" si="5">IF(B42="",N41,B42)</f>
        <v>Laydown areas</v>
      </c>
      <c r="O42" s="213" t="str">
        <f t="shared" si="5"/>
        <v>With seeding, with ripping</v>
      </c>
      <c r="P42" s="213" t="str">
        <f t="shared" si="1"/>
        <v>Laydown areas - With seeding, with ripping</v>
      </c>
      <c r="Q42" s="214">
        <v>1</v>
      </c>
      <c r="R42" s="215" t="str">
        <f t="shared" si="2"/>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5"/>
        <v>Laydown areas</v>
      </c>
      <c r="O43" s="213" t="str">
        <f t="shared" si="5"/>
        <v>With seeding, no ripping</v>
      </c>
      <c r="P43" s="213" t="str">
        <f t="shared" si="1"/>
        <v/>
      </c>
      <c r="Q43" s="214"/>
      <c r="R43" s="215" t="str">
        <f t="shared" si="2"/>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5"/>
        <v>Laydown areas</v>
      </c>
      <c r="O44" s="213" t="str">
        <f t="shared" si="5"/>
        <v>With seeding, no ripping</v>
      </c>
      <c r="P44" s="213" t="str">
        <f t="shared" si="1"/>
        <v/>
      </c>
      <c r="Q44" s="214"/>
      <c r="R44" s="215" t="str">
        <f t="shared" si="2"/>
        <v>m</v>
      </c>
    </row>
    <row r="45" spans="1:18" s="14" customFormat="1" outlineLevel="1" x14ac:dyDescent="0.2">
      <c r="A45" s="4"/>
      <c r="B45" s="645"/>
      <c r="C45" s="648"/>
      <c r="D45" s="49" t="s">
        <v>155</v>
      </c>
      <c r="E45" s="50" t="s">
        <v>64</v>
      </c>
      <c r="F45" s="221">
        <f>(F43*F44)/10^4</f>
        <v>0</v>
      </c>
      <c r="G45" s="221">
        <f t="shared" ref="G45:J45" si="6">(G43*G44)/10^4</f>
        <v>0</v>
      </c>
      <c r="H45" s="221">
        <f t="shared" si="6"/>
        <v>0</v>
      </c>
      <c r="I45" s="221">
        <f t="shared" si="6"/>
        <v>0</v>
      </c>
      <c r="J45" s="221">
        <f t="shared" si="6"/>
        <v>0</v>
      </c>
      <c r="K45" s="617"/>
      <c r="L45" s="614"/>
      <c r="M45" s="4"/>
      <c r="N45" s="216" t="str">
        <f t="shared" si="5"/>
        <v>Laydown areas</v>
      </c>
      <c r="O45" s="213" t="str">
        <f t="shared" si="5"/>
        <v>With seeding, no ripping</v>
      </c>
      <c r="P45" s="213" t="str">
        <f t="shared" si="1"/>
        <v>Laydown areas - With seeding, no ripping</v>
      </c>
      <c r="Q45" s="214">
        <v>1</v>
      </c>
      <c r="R45" s="215" t="str">
        <f t="shared" si="2"/>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5"/>
        <v>Laydown areas</v>
      </c>
      <c r="O46" s="213" t="str">
        <f t="shared" si="5"/>
        <v>No seeding, with ripping</v>
      </c>
      <c r="P46" s="213" t="str">
        <f t="shared" si="1"/>
        <v/>
      </c>
      <c r="Q46" s="214"/>
      <c r="R46" s="215" t="str">
        <f t="shared" si="2"/>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5"/>
        <v>Laydown areas</v>
      </c>
      <c r="O47" s="213" t="str">
        <f t="shared" si="5"/>
        <v>No seeding, with ripping</v>
      </c>
      <c r="P47" s="213" t="str">
        <f t="shared" si="1"/>
        <v/>
      </c>
      <c r="Q47" s="214"/>
      <c r="R47" s="215" t="str">
        <f t="shared" si="2"/>
        <v>m</v>
      </c>
    </row>
    <row r="48" spans="1:18" s="14" customFormat="1" outlineLevel="1" x14ac:dyDescent="0.2">
      <c r="A48" s="4"/>
      <c r="B48" s="645"/>
      <c r="C48" s="648"/>
      <c r="D48" s="49" t="s">
        <v>155</v>
      </c>
      <c r="E48" s="50" t="s">
        <v>64</v>
      </c>
      <c r="F48" s="221">
        <f>(F46*F47)/10^4</f>
        <v>0</v>
      </c>
      <c r="G48" s="221">
        <f t="shared" ref="G48:J48" si="7">(G46*G47)/10^4</f>
        <v>0</v>
      </c>
      <c r="H48" s="221">
        <f t="shared" si="7"/>
        <v>0</v>
      </c>
      <c r="I48" s="221">
        <f t="shared" si="7"/>
        <v>0</v>
      </c>
      <c r="J48" s="221">
        <f t="shared" si="7"/>
        <v>0</v>
      </c>
      <c r="K48" s="617"/>
      <c r="L48" s="614"/>
      <c r="M48" s="4"/>
      <c r="N48" s="216" t="str">
        <f t="shared" si="5"/>
        <v>Laydown areas</v>
      </c>
      <c r="O48" s="213" t="str">
        <f t="shared" si="5"/>
        <v>No seeding, with ripping</v>
      </c>
      <c r="P48" s="213" t="str">
        <f t="shared" si="1"/>
        <v>Laydown areas - No seeding, with ripping</v>
      </c>
      <c r="Q48" s="214">
        <v>1</v>
      </c>
      <c r="R48" s="215" t="str">
        <f t="shared" si="2"/>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5"/>
        <v>Laydown areas</v>
      </c>
      <c r="O49" s="213" t="str">
        <f t="shared" si="5"/>
        <v>No seeding, no ripping</v>
      </c>
      <c r="P49" s="213" t="str">
        <f t="shared" si="1"/>
        <v/>
      </c>
      <c r="Q49" s="214"/>
      <c r="R49" s="215" t="str">
        <f t="shared" si="2"/>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5"/>
        <v>Laydown areas</v>
      </c>
      <c r="O50" s="213" t="str">
        <f t="shared" si="5"/>
        <v>No seeding, no ripping</v>
      </c>
      <c r="P50" s="213" t="str">
        <f t="shared" si="1"/>
        <v/>
      </c>
      <c r="Q50" s="214"/>
      <c r="R50" s="215" t="str">
        <f t="shared" si="2"/>
        <v>m</v>
      </c>
    </row>
    <row r="51" spans="1:18" s="14" customFormat="1" outlineLevel="1" x14ac:dyDescent="0.2">
      <c r="A51" s="4"/>
      <c r="B51" s="645"/>
      <c r="C51" s="648"/>
      <c r="D51" s="49" t="s">
        <v>155</v>
      </c>
      <c r="E51" s="50" t="s">
        <v>64</v>
      </c>
      <c r="F51" s="221">
        <f>(F49*F50)/10^4</f>
        <v>0</v>
      </c>
      <c r="G51" s="221">
        <f t="shared" ref="G51:J51" si="8">(G49*G50)/10^4</f>
        <v>0</v>
      </c>
      <c r="H51" s="221">
        <f t="shared" si="8"/>
        <v>0</v>
      </c>
      <c r="I51" s="221">
        <f t="shared" si="8"/>
        <v>0</v>
      </c>
      <c r="J51" s="221">
        <f t="shared" si="8"/>
        <v>0</v>
      </c>
      <c r="K51" s="617"/>
      <c r="L51" s="614"/>
      <c r="M51" s="4"/>
      <c r="N51" s="216" t="str">
        <f t="shared" si="5"/>
        <v>Laydown areas</v>
      </c>
      <c r="O51" s="213" t="str">
        <f t="shared" si="5"/>
        <v>No seeding, no ripping</v>
      </c>
      <c r="P51" s="213" t="str">
        <f t="shared" si="1"/>
        <v>Laydown areas - No seeding, no ripping</v>
      </c>
      <c r="Q51" s="214">
        <v>1</v>
      </c>
      <c r="R51" s="215" t="str">
        <f t="shared" si="2"/>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5"/>
        <v>Gravel pits</v>
      </c>
      <c r="O52" s="213" t="str">
        <f t="shared" si="5"/>
        <v>-</v>
      </c>
      <c r="P52" s="213" t="str">
        <f t="shared" si="1"/>
        <v/>
      </c>
      <c r="Q52" s="214"/>
      <c r="R52" s="215" t="str">
        <f t="shared" si="2"/>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5"/>
        <v>Gravel pits</v>
      </c>
      <c r="O53" s="213" t="str">
        <f t="shared" si="5"/>
        <v>-</v>
      </c>
      <c r="P53" s="213" t="str">
        <f t="shared" si="1"/>
        <v/>
      </c>
      <c r="Q53" s="214"/>
      <c r="R53" s="215" t="str">
        <f t="shared" si="2"/>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5"/>
        <v>Gravel pits</v>
      </c>
      <c r="O54" s="213" t="str">
        <f t="shared" si="5"/>
        <v>-</v>
      </c>
      <c r="P54" s="213" t="str">
        <f t="shared" si="1"/>
        <v/>
      </c>
      <c r="Q54" s="214"/>
      <c r="R54" s="215" t="str">
        <f t="shared" si="2"/>
        <v>m</v>
      </c>
    </row>
    <row r="55" spans="1:18" s="14" customFormat="1" outlineLevel="1" x14ac:dyDescent="0.2">
      <c r="A55" s="4"/>
      <c r="B55" s="653"/>
      <c r="C55" s="641"/>
      <c r="D55" s="49" t="s">
        <v>73</v>
      </c>
      <c r="E55" s="50" t="s">
        <v>64</v>
      </c>
      <c r="F55" s="221">
        <f>(F53*F54*F52)/10^4</f>
        <v>0</v>
      </c>
      <c r="G55" s="221">
        <f t="shared" ref="G55:J55" si="9">(G53*G54*G52)/10^4</f>
        <v>0</v>
      </c>
      <c r="H55" s="221">
        <f t="shared" si="9"/>
        <v>0</v>
      </c>
      <c r="I55" s="221">
        <f t="shared" si="9"/>
        <v>0</v>
      </c>
      <c r="J55" s="221">
        <f t="shared" si="9"/>
        <v>0</v>
      </c>
      <c r="K55" s="611"/>
      <c r="L55" s="610"/>
      <c r="M55" s="4"/>
      <c r="N55" s="216" t="str">
        <f t="shared" si="5"/>
        <v>Gravel pits</v>
      </c>
      <c r="O55" s="213" t="str">
        <f t="shared" si="5"/>
        <v>-</v>
      </c>
      <c r="P55" s="213" t="str">
        <f t="shared" si="1"/>
        <v>Gravel pits</v>
      </c>
      <c r="Q55" s="214">
        <v>1</v>
      </c>
      <c r="R55" s="215" t="str">
        <f t="shared" si="2"/>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5"/>
        <v>Well pad</v>
      </c>
      <c r="O56" s="213" t="str">
        <f t="shared" si="5"/>
        <v>-</v>
      </c>
      <c r="P56" s="213" t="str">
        <f t="shared" si="1"/>
        <v/>
      </c>
      <c r="Q56" s="214"/>
      <c r="R56" s="215" t="str">
        <f t="shared" si="2"/>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5"/>
        <v>Well pad</v>
      </c>
      <c r="O57" s="213" t="str">
        <f t="shared" si="5"/>
        <v>-</v>
      </c>
      <c r="P57" s="213" t="str">
        <f t="shared" si="1"/>
        <v/>
      </c>
      <c r="Q57" s="214"/>
      <c r="R57" s="215" t="str">
        <f t="shared" si="2"/>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ref="N58:O73" si="10">IF(B58="",N57,B58)</f>
        <v>Well pad</v>
      </c>
      <c r="O58" s="213" t="str">
        <f t="shared" si="10"/>
        <v>-</v>
      </c>
      <c r="P58" s="213" t="str">
        <f t="shared" si="1"/>
        <v/>
      </c>
      <c r="Q58" s="214"/>
      <c r="R58" s="215" t="str">
        <f t="shared" si="2"/>
        <v>m</v>
      </c>
    </row>
    <row r="59" spans="1:18" s="14" customFormat="1" outlineLevel="1" x14ac:dyDescent="0.2">
      <c r="A59" s="4"/>
      <c r="B59" s="653"/>
      <c r="C59" s="641"/>
      <c r="D59" s="49" t="s">
        <v>73</v>
      </c>
      <c r="E59" s="50" t="s">
        <v>64</v>
      </c>
      <c r="F59" s="221">
        <f>(F57*F58*F56)/10^4</f>
        <v>0</v>
      </c>
      <c r="G59" s="221">
        <f t="shared" ref="G59:J59" si="11">(G57*G58*G56)/10^4</f>
        <v>0</v>
      </c>
      <c r="H59" s="221">
        <f t="shared" si="11"/>
        <v>0</v>
      </c>
      <c r="I59" s="221">
        <f t="shared" si="11"/>
        <v>0</v>
      </c>
      <c r="J59" s="221">
        <f t="shared" si="11"/>
        <v>0</v>
      </c>
      <c r="K59" s="611"/>
      <c r="L59" s="610"/>
      <c r="M59" s="4"/>
      <c r="N59" s="216" t="str">
        <f t="shared" si="10"/>
        <v>Well pad</v>
      </c>
      <c r="O59" s="213" t="str">
        <f>IF(C59="",O58,C59)</f>
        <v>-</v>
      </c>
      <c r="P59" s="213" t="str">
        <f t="shared" si="1"/>
        <v>Well pad</v>
      </c>
      <c r="Q59" s="214">
        <v>1</v>
      </c>
      <c r="R59" s="215" t="str">
        <f t="shared" si="2"/>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0"/>
        <v>Camp</v>
      </c>
      <c r="O60" s="213" t="str">
        <f t="shared" si="10"/>
        <v>With seeding</v>
      </c>
      <c r="P60" s="213" t="str">
        <f t="shared" si="1"/>
        <v/>
      </c>
      <c r="Q60" s="214"/>
      <c r="R60" s="215" t="str">
        <f t="shared" si="2"/>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0"/>
        <v>Camp</v>
      </c>
      <c r="O61" s="213" t="str">
        <f t="shared" si="10"/>
        <v>With seeding</v>
      </c>
      <c r="P61" s="213" t="str">
        <f t="shared" si="1"/>
        <v/>
      </c>
      <c r="Q61" s="214"/>
      <c r="R61" s="215" t="str">
        <f t="shared" si="2"/>
        <v>m</v>
      </c>
    </row>
    <row r="62" spans="1:18" s="14" customFormat="1" outlineLevel="1" x14ac:dyDescent="0.2">
      <c r="A62" s="4"/>
      <c r="B62" s="642"/>
      <c r="C62" s="651"/>
      <c r="D62" s="49" t="s">
        <v>73</v>
      </c>
      <c r="E62" s="50" t="s">
        <v>64</v>
      </c>
      <c r="F62" s="221">
        <f>(F60*F61)/10^4</f>
        <v>0</v>
      </c>
      <c r="G62" s="221">
        <f t="shared" ref="G62:J62" si="12">(G60*G61)/10^4</f>
        <v>0</v>
      </c>
      <c r="H62" s="221">
        <f t="shared" si="12"/>
        <v>0</v>
      </c>
      <c r="I62" s="221">
        <f t="shared" si="12"/>
        <v>0</v>
      </c>
      <c r="J62" s="221">
        <f t="shared" si="12"/>
        <v>0</v>
      </c>
      <c r="K62" s="618"/>
      <c r="L62" s="610"/>
      <c r="M62" s="4"/>
      <c r="N62" s="216" t="str">
        <f t="shared" si="10"/>
        <v>Camp</v>
      </c>
      <c r="O62" s="213" t="str">
        <f t="shared" si="10"/>
        <v>With seeding</v>
      </c>
      <c r="P62" s="213" t="str">
        <f t="shared" si="1"/>
        <v>Camp - With seeding</v>
      </c>
      <c r="Q62" s="214">
        <v>1</v>
      </c>
      <c r="R62" s="215" t="str">
        <f t="shared" si="2"/>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0"/>
        <v>Camp</v>
      </c>
      <c r="O63" s="213" t="str">
        <f t="shared" si="10"/>
        <v>No seeding</v>
      </c>
      <c r="P63" s="213" t="str">
        <f t="shared" si="1"/>
        <v/>
      </c>
      <c r="Q63" s="214"/>
      <c r="R63" s="215" t="str">
        <f t="shared" si="2"/>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0"/>
        <v>Camp</v>
      </c>
      <c r="O64" s="213" t="str">
        <f t="shared" si="10"/>
        <v>No seeding</v>
      </c>
      <c r="P64" s="213" t="str">
        <f t="shared" si="1"/>
        <v/>
      </c>
      <c r="Q64" s="214"/>
      <c r="R64" s="215" t="str">
        <f t="shared" si="2"/>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0"/>
        <v>Camp</v>
      </c>
      <c r="O65" s="213" t="str">
        <f t="shared" si="10"/>
        <v>No seeding</v>
      </c>
      <c r="P65" s="213" t="str">
        <f t="shared" si="1"/>
        <v>Camp - No seeding</v>
      </c>
      <c r="Q65" s="214">
        <v>1</v>
      </c>
      <c r="R65" s="215" t="str">
        <f t="shared" si="2"/>
        <v>ha</v>
      </c>
    </row>
    <row r="66" spans="1:24" s="14" customFormat="1" ht="28.5" outlineLevel="1" x14ac:dyDescent="0.2">
      <c r="A66" s="157"/>
      <c r="B66" s="410" t="s">
        <v>76</v>
      </c>
      <c r="C66" s="411" t="s">
        <v>234</v>
      </c>
      <c r="D66" s="49" t="s">
        <v>73</v>
      </c>
      <c r="E66" s="50" t="s">
        <v>64</v>
      </c>
      <c r="F66" s="51">
        <v>0</v>
      </c>
      <c r="G66" s="51">
        <v>0</v>
      </c>
      <c r="H66" s="51">
        <v>0</v>
      </c>
      <c r="I66" s="51">
        <v>0</v>
      </c>
      <c r="J66" s="51">
        <v>0</v>
      </c>
      <c r="K66" s="487" t="s">
        <v>159</v>
      </c>
      <c r="L66" s="57"/>
      <c r="M66" s="157"/>
      <c r="N66" s="216" t="str">
        <f t="shared" si="10"/>
        <v>Miscellaneous clearing</v>
      </c>
      <c r="O66" s="213" t="str">
        <f t="shared" si="10"/>
        <v>With seeding</v>
      </c>
      <c r="P66" s="213" t="str">
        <f t="shared" si="1"/>
        <v>Miscellaneous clearing - With seeding</v>
      </c>
      <c r="Q66" s="214">
        <v>1</v>
      </c>
      <c r="R66" s="215" t="str">
        <f t="shared" si="2"/>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si="10"/>
        <v>Miscellaneous clearing</v>
      </c>
      <c r="O67" s="218" t="str">
        <f t="shared" si="10"/>
        <v>No seeding</v>
      </c>
      <c r="P67" s="218" t="str">
        <f t="shared" si="1"/>
        <v>Miscellaneous clearing - No seeding</v>
      </c>
      <c r="Q67" s="219">
        <v>1</v>
      </c>
      <c r="R67" s="220" t="str">
        <f t="shared" si="2"/>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5.2.2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P74" si="13">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si="13"/>
        <v/>
      </c>
      <c r="Q71" s="230"/>
      <c r="R71" s="231" t="str">
        <f>E71</f>
        <v>#</v>
      </c>
    </row>
    <row r="72" spans="1:24" s="159" customFormat="1" ht="28.5" outlineLevel="1" x14ac:dyDescent="0.2">
      <c r="A72" s="4"/>
      <c r="B72" s="496" t="s">
        <v>286</v>
      </c>
      <c r="C72" s="495" t="s">
        <v>70</v>
      </c>
      <c r="D72" s="64" t="s">
        <v>85</v>
      </c>
      <c r="E72" s="65" t="s">
        <v>82</v>
      </c>
      <c r="F72" s="385">
        <v>0</v>
      </c>
      <c r="G72" s="385">
        <v>0</v>
      </c>
      <c r="H72" s="385">
        <v>0</v>
      </c>
      <c r="I72" s="385">
        <v>0</v>
      </c>
      <c r="J72" s="385">
        <v>0</v>
      </c>
      <c r="K72" s="110" t="s">
        <v>161</v>
      </c>
      <c r="L72" s="57"/>
      <c r="M72" s="4"/>
      <c r="N72" s="212" t="str">
        <f t="shared" si="10"/>
        <v>Groundwater bore ≥ 70m TVD (retained)</v>
      </c>
      <c r="O72" s="419" t="str">
        <f t="shared" si="10"/>
        <v>-</v>
      </c>
      <c r="P72" s="419" t="str">
        <f t="shared" si="13"/>
        <v/>
      </c>
      <c r="Q72" s="420"/>
      <c r="R72" s="215" t="str">
        <f>E72</f>
        <v>#</v>
      </c>
    </row>
    <row r="73" spans="1:24" s="159" customFormat="1" ht="71.25" outlineLevel="1" x14ac:dyDescent="0.2">
      <c r="A73" s="4"/>
      <c r="B73" s="496" t="s">
        <v>285</v>
      </c>
      <c r="C73" s="495" t="s">
        <v>70</v>
      </c>
      <c r="D73" s="194" t="s">
        <v>162</v>
      </c>
      <c r="E73" s="67" t="s">
        <v>64</v>
      </c>
      <c r="F73" s="51">
        <v>0</v>
      </c>
      <c r="G73" s="51">
        <v>0</v>
      </c>
      <c r="H73" s="51">
        <v>0</v>
      </c>
      <c r="I73" s="51">
        <v>0</v>
      </c>
      <c r="J73" s="51">
        <v>0</v>
      </c>
      <c r="K73" s="110" t="s">
        <v>163</v>
      </c>
      <c r="L73" s="57"/>
      <c r="M73" s="4"/>
      <c r="N73" s="212" t="str">
        <f t="shared" si="10"/>
        <v>Access track (new or existing retained)</v>
      </c>
      <c r="O73" s="419" t="str">
        <f t="shared" si="10"/>
        <v>-</v>
      </c>
      <c r="P73" s="419" t="str">
        <f t="shared" si="13"/>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ref="N74:O74" si="14">IF(B74="",N73,B74)</f>
        <v>Turkey's nest (retained)</v>
      </c>
      <c r="O74" s="218" t="str">
        <f t="shared" si="14"/>
        <v>-</v>
      </c>
      <c r="P74" s="218" t="str">
        <f t="shared" si="13"/>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5.2.3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O92" si="15">IF(B77="",N76,B77)</f>
        <v>Fencing</v>
      </c>
      <c r="O77" s="229" t="str">
        <f t="shared" si="15"/>
        <v>-</v>
      </c>
      <c r="P77" s="229" t="str">
        <f>IF(Q77=1,IF(O77&lt;&gt;"-",N77&amp;" - "&amp;O77,N77),"")</f>
        <v>Fencing</v>
      </c>
      <c r="Q77" s="232">
        <v>1</v>
      </c>
      <c r="R77" s="231" t="str">
        <f t="shared" ref="R77:R101" si="16">E77</f>
        <v>m</v>
      </c>
    </row>
    <row r="78" spans="1:24" s="14" customFormat="1" ht="28.5" outlineLevel="1" x14ac:dyDescent="0.2">
      <c r="A78" s="4"/>
      <c r="B78" s="496" t="s">
        <v>80</v>
      </c>
      <c r="C78" s="495" t="s">
        <v>70</v>
      </c>
      <c r="D78" s="64" t="s">
        <v>85</v>
      </c>
      <c r="E78" s="65" t="s">
        <v>82</v>
      </c>
      <c r="F78" s="51">
        <v>0</v>
      </c>
      <c r="G78" s="51">
        <v>0</v>
      </c>
      <c r="H78" s="51">
        <v>0</v>
      </c>
      <c r="I78" s="51">
        <v>0</v>
      </c>
      <c r="J78" s="51">
        <v>0</v>
      </c>
      <c r="K78" s="110" t="s">
        <v>165</v>
      </c>
      <c r="L78" s="57"/>
      <c r="M78" s="4"/>
      <c r="N78" s="212" t="str">
        <f t="shared" si="15"/>
        <v>Groundwater bore &lt; 70m TVD</v>
      </c>
      <c r="O78" s="213" t="str">
        <f t="shared" si="15"/>
        <v>-</v>
      </c>
      <c r="P78" s="213" t="str">
        <f t="shared" ref="P78:P129" si="17">IF(Q78=1,IF(O78&lt;&gt;"-",N78&amp;" - "&amp;O78,N78),"")</f>
        <v>Groundwater bore &lt; 70m TVD</v>
      </c>
      <c r="Q78" s="233">
        <v>1</v>
      </c>
      <c r="R78" s="215" t="str">
        <f t="shared" si="16"/>
        <v>#</v>
      </c>
    </row>
    <row r="79" spans="1:24" s="14" customFormat="1" ht="28.5" outlineLevel="1" x14ac:dyDescent="0.2">
      <c r="A79" s="4"/>
      <c r="B79" s="496" t="s">
        <v>83</v>
      </c>
      <c r="C79" s="495" t="s">
        <v>70</v>
      </c>
      <c r="D79" s="64" t="s">
        <v>85</v>
      </c>
      <c r="E79" s="65" t="s">
        <v>82</v>
      </c>
      <c r="F79" s="51">
        <v>0</v>
      </c>
      <c r="G79" s="51">
        <v>0</v>
      </c>
      <c r="H79" s="51">
        <v>0</v>
      </c>
      <c r="I79" s="51">
        <v>0</v>
      </c>
      <c r="J79" s="51">
        <v>0</v>
      </c>
      <c r="K79" s="110" t="s">
        <v>166</v>
      </c>
      <c r="L79" s="57"/>
      <c r="M79" s="4"/>
      <c r="N79" s="212" t="str">
        <f t="shared" si="15"/>
        <v>Groundwater bore ≥ 70m TVD</v>
      </c>
      <c r="O79" s="213" t="str">
        <f t="shared" si="15"/>
        <v>-</v>
      </c>
      <c r="P79" s="213" t="str">
        <f t="shared" si="17"/>
        <v>Groundwater bore ≥ 70m TVD</v>
      </c>
      <c r="Q79" s="233">
        <v>1</v>
      </c>
      <c r="R79" s="215" t="str">
        <f t="shared" si="16"/>
        <v>#</v>
      </c>
    </row>
    <row r="80" spans="1:24" s="14" customFormat="1" outlineLevel="1" x14ac:dyDescent="0.2">
      <c r="A80" s="4"/>
      <c r="B80" s="496" t="s">
        <v>84</v>
      </c>
      <c r="C80" s="495" t="s">
        <v>70</v>
      </c>
      <c r="D80" s="64" t="s">
        <v>85</v>
      </c>
      <c r="E80" s="65" t="s">
        <v>82</v>
      </c>
      <c r="F80" s="51">
        <v>0</v>
      </c>
      <c r="G80" s="51">
        <v>0</v>
      </c>
      <c r="H80" s="51">
        <v>0</v>
      </c>
      <c r="I80" s="51">
        <v>0</v>
      </c>
      <c r="J80" s="51">
        <v>0</v>
      </c>
      <c r="K80" s="110" t="s">
        <v>167</v>
      </c>
      <c r="L80" s="57"/>
      <c r="M80" s="4"/>
      <c r="N80" s="212" t="str">
        <f t="shared" si="15"/>
        <v>Drill sump liners</v>
      </c>
      <c r="O80" s="213" t="str">
        <f t="shared" si="15"/>
        <v>-</v>
      </c>
      <c r="P80" s="213" t="str">
        <f t="shared" si="17"/>
        <v>Drill sump liners</v>
      </c>
      <c r="Q80" s="233">
        <v>1</v>
      </c>
      <c r="R80" s="215" t="str">
        <f t="shared" si="16"/>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15"/>
        <v>Drill sump</v>
      </c>
      <c r="O81" s="213" t="str">
        <f t="shared" si="15"/>
        <v>-</v>
      </c>
      <c r="P81" s="213" t="str">
        <f t="shared" si="17"/>
        <v/>
      </c>
      <c r="Q81" s="233"/>
      <c r="R81" s="215" t="str">
        <f t="shared" si="16"/>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15"/>
        <v>Drill sump</v>
      </c>
      <c r="O82" s="213" t="str">
        <f t="shared" si="15"/>
        <v>-</v>
      </c>
      <c r="P82" s="213" t="str">
        <f t="shared" si="17"/>
        <v/>
      </c>
      <c r="Q82" s="233"/>
      <c r="R82" s="215" t="str">
        <f t="shared" si="16"/>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15"/>
        <v>Drill sump</v>
      </c>
      <c r="O83" s="213" t="str">
        <f t="shared" si="15"/>
        <v>-</v>
      </c>
      <c r="P83" s="213" t="str">
        <f t="shared" si="17"/>
        <v/>
      </c>
      <c r="Q83" s="233"/>
      <c r="R83" s="215" t="str">
        <f t="shared" si="16"/>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15"/>
        <v>Drill sump</v>
      </c>
      <c r="O84" s="213" t="str">
        <f t="shared" si="15"/>
        <v>-</v>
      </c>
      <c r="P84" s="213" t="str">
        <f t="shared" si="17"/>
        <v/>
      </c>
      <c r="Q84" s="233"/>
      <c r="R84" s="215" t="str">
        <f t="shared" si="16"/>
        <v>m</v>
      </c>
    </row>
    <row r="85" spans="1:18" s="14" customFormat="1" ht="15.75" outlineLevel="1" x14ac:dyDescent="0.2">
      <c r="A85" s="4"/>
      <c r="B85" s="658"/>
      <c r="C85" s="652"/>
      <c r="D85" s="64" t="s">
        <v>87</v>
      </c>
      <c r="E85" s="65" t="s">
        <v>133</v>
      </c>
      <c r="F85" s="223">
        <f>F81*(F82*F83*F84)</f>
        <v>0</v>
      </c>
      <c r="G85" s="223">
        <f t="shared" ref="G85:J85" si="18">G81*(G82*G83*G84)</f>
        <v>0</v>
      </c>
      <c r="H85" s="223">
        <f t="shared" si="18"/>
        <v>0</v>
      </c>
      <c r="I85" s="223">
        <f t="shared" si="18"/>
        <v>0</v>
      </c>
      <c r="J85" s="223">
        <f t="shared" si="18"/>
        <v>0</v>
      </c>
      <c r="K85" s="654"/>
      <c r="L85" s="57"/>
      <c r="M85" s="4"/>
      <c r="N85" s="212" t="str">
        <f t="shared" si="15"/>
        <v>Drill sump</v>
      </c>
      <c r="O85" s="213" t="str">
        <f t="shared" si="15"/>
        <v>-</v>
      </c>
      <c r="P85" s="213" t="str">
        <f t="shared" si="17"/>
        <v>Drill sump</v>
      </c>
      <c r="Q85" s="233">
        <v>1</v>
      </c>
      <c r="R85" s="215" t="str">
        <f t="shared" si="16"/>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15"/>
        <v>Flare pit</v>
      </c>
      <c r="O86" s="213" t="str">
        <f t="shared" si="15"/>
        <v>-</v>
      </c>
      <c r="P86" s="213" t="str">
        <f t="shared" si="17"/>
        <v/>
      </c>
      <c r="Q86" s="233"/>
      <c r="R86" s="215" t="str">
        <f t="shared" si="16"/>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15"/>
        <v>Flare pit</v>
      </c>
      <c r="O87" s="213" t="str">
        <f t="shared" si="15"/>
        <v>-</v>
      </c>
      <c r="P87" s="213" t="str">
        <f t="shared" si="17"/>
        <v/>
      </c>
      <c r="Q87" s="233"/>
      <c r="R87" s="215" t="str">
        <f t="shared" si="16"/>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15"/>
        <v>Flare pit</v>
      </c>
      <c r="O88" s="213" t="str">
        <f t="shared" si="15"/>
        <v>-</v>
      </c>
      <c r="P88" s="213" t="str">
        <f t="shared" si="17"/>
        <v/>
      </c>
      <c r="Q88" s="233"/>
      <c r="R88" s="215" t="str">
        <f t="shared" si="16"/>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15"/>
        <v>Flare pit</v>
      </c>
      <c r="O89" s="213" t="str">
        <f t="shared" si="15"/>
        <v>-</v>
      </c>
      <c r="P89" s="213" t="str">
        <f t="shared" si="17"/>
        <v/>
      </c>
      <c r="Q89" s="233"/>
      <c r="R89" s="215" t="str">
        <f t="shared" si="16"/>
        <v>m</v>
      </c>
    </row>
    <row r="90" spans="1:18" s="14" customFormat="1" ht="15.75" outlineLevel="1" x14ac:dyDescent="0.2">
      <c r="A90" s="4"/>
      <c r="B90" s="658"/>
      <c r="C90" s="652"/>
      <c r="D90" s="64" t="s">
        <v>87</v>
      </c>
      <c r="E90" s="65" t="s">
        <v>133</v>
      </c>
      <c r="F90" s="224">
        <f>F86*(F87*F88*F89)</f>
        <v>0</v>
      </c>
      <c r="G90" s="224">
        <f t="shared" ref="G90:J90" si="19">G86*(G87*G88*G89)</f>
        <v>0</v>
      </c>
      <c r="H90" s="224">
        <f t="shared" si="19"/>
        <v>0</v>
      </c>
      <c r="I90" s="224">
        <f t="shared" si="19"/>
        <v>0</v>
      </c>
      <c r="J90" s="224">
        <f t="shared" si="19"/>
        <v>0</v>
      </c>
      <c r="K90" s="654"/>
      <c r="L90" s="57"/>
      <c r="M90" s="4"/>
      <c r="N90" s="212" t="str">
        <f t="shared" si="15"/>
        <v>Flare pit</v>
      </c>
      <c r="O90" s="213" t="str">
        <f t="shared" si="15"/>
        <v>-</v>
      </c>
      <c r="P90" s="213" t="str">
        <f t="shared" si="17"/>
        <v>Flare pit</v>
      </c>
      <c r="Q90" s="233">
        <v>1</v>
      </c>
      <c r="R90" s="215" t="str">
        <f t="shared" si="16"/>
        <v>m3</v>
      </c>
    </row>
    <row r="91" spans="1:18" s="14" customFormat="1" ht="28.5" outlineLevel="1" x14ac:dyDescent="0.2">
      <c r="A91" s="4"/>
      <c r="B91" s="496" t="s">
        <v>89</v>
      </c>
      <c r="C91" s="495" t="s">
        <v>70</v>
      </c>
      <c r="D91" s="64" t="s">
        <v>85</v>
      </c>
      <c r="E91" s="65" t="s">
        <v>82</v>
      </c>
      <c r="F91" s="222">
        <v>0</v>
      </c>
      <c r="G91" s="222">
        <v>0</v>
      </c>
      <c r="H91" s="222">
        <v>0</v>
      </c>
      <c r="I91" s="222">
        <v>0</v>
      </c>
      <c r="J91" s="222">
        <v>0</v>
      </c>
      <c r="K91" s="110" t="s">
        <v>171</v>
      </c>
      <c r="L91" s="57"/>
      <c r="M91" s="4"/>
      <c r="N91" s="212" t="str">
        <f t="shared" si="15"/>
        <v>Wastewater tank</v>
      </c>
      <c r="O91" s="213" t="str">
        <f t="shared" si="15"/>
        <v>-</v>
      </c>
      <c r="P91" s="213" t="str">
        <f t="shared" si="17"/>
        <v>Wastewater tank</v>
      </c>
      <c r="Q91" s="233">
        <v>1</v>
      </c>
      <c r="R91" s="215" t="str">
        <f t="shared" si="16"/>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si="15"/>
        <v>Wastewater treatment plant (camp)</v>
      </c>
      <c r="O92" s="213" t="str">
        <f t="shared" si="15"/>
        <v>-</v>
      </c>
      <c r="P92" s="213" t="str">
        <f t="shared" si="17"/>
        <v>Wastewater treatment plant (camp)</v>
      </c>
      <c r="Q92" s="233">
        <v>1</v>
      </c>
      <c r="R92" s="215" t="str">
        <f t="shared" si="16"/>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ref="N93:O108" si="20">IF(B93="",N92,B93)</f>
        <v>Turkey's nest</v>
      </c>
      <c r="O93" s="213" t="str">
        <f t="shared" si="20"/>
        <v>-</v>
      </c>
      <c r="P93" s="213" t="str">
        <f t="shared" si="17"/>
        <v/>
      </c>
      <c r="Q93" s="233"/>
      <c r="R93" s="215" t="str">
        <f t="shared" si="16"/>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20"/>
        <v>Turkey's nest</v>
      </c>
      <c r="O94" s="213" t="str">
        <f t="shared" si="20"/>
        <v>-</v>
      </c>
      <c r="P94" s="213" t="str">
        <f t="shared" si="17"/>
        <v/>
      </c>
      <c r="Q94" s="233"/>
      <c r="R94" s="215" t="str">
        <f t="shared" si="16"/>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20"/>
        <v>Turkey's nest</v>
      </c>
      <c r="O95" s="213" t="str">
        <f t="shared" si="20"/>
        <v>-</v>
      </c>
      <c r="P95" s="213" t="str">
        <f t="shared" si="17"/>
        <v/>
      </c>
      <c r="Q95" s="233"/>
      <c r="R95" s="215" t="str">
        <f t="shared" si="16"/>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20"/>
        <v>Turkey's nest</v>
      </c>
      <c r="O96" s="213" t="str">
        <f t="shared" si="20"/>
        <v>-</v>
      </c>
      <c r="P96" s="213" t="str">
        <f t="shared" si="17"/>
        <v/>
      </c>
      <c r="Q96" s="233"/>
      <c r="R96" s="215" t="str">
        <f t="shared" si="16"/>
        <v>m</v>
      </c>
    </row>
    <row r="97" spans="1:27" s="14" customFormat="1" ht="15.75" outlineLevel="1" x14ac:dyDescent="0.2">
      <c r="A97" s="4"/>
      <c r="B97" s="658"/>
      <c r="C97" s="652"/>
      <c r="D97" s="64" t="s">
        <v>87</v>
      </c>
      <c r="E97" s="65" t="s">
        <v>133</v>
      </c>
      <c r="F97" s="224">
        <f>F93*(F94*F95*F96)</f>
        <v>0</v>
      </c>
      <c r="G97" s="224">
        <f t="shared" ref="G97:J97" si="21">G93*(G94*G95*G96)</f>
        <v>0</v>
      </c>
      <c r="H97" s="224">
        <f t="shared" si="21"/>
        <v>0</v>
      </c>
      <c r="I97" s="224">
        <f t="shared" si="21"/>
        <v>0</v>
      </c>
      <c r="J97" s="224">
        <f t="shared" si="21"/>
        <v>0</v>
      </c>
      <c r="K97" s="654"/>
      <c r="L97" s="57"/>
      <c r="M97" s="4"/>
      <c r="N97" s="212" t="str">
        <f t="shared" si="20"/>
        <v>Turkey's nest</v>
      </c>
      <c r="O97" s="213" t="str">
        <f t="shared" si="20"/>
        <v>-</v>
      </c>
      <c r="P97" s="213" t="str">
        <f t="shared" si="17"/>
        <v>Turkey's nest</v>
      </c>
      <c r="Q97" s="233">
        <v>1</v>
      </c>
      <c r="R97" s="215" t="str">
        <f t="shared" si="16"/>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20"/>
        <v>Camp capacity</v>
      </c>
      <c r="O98" s="419" t="str">
        <f t="shared" si="20"/>
        <v>-</v>
      </c>
      <c r="P98" s="419" t="str">
        <f t="shared" si="17"/>
        <v/>
      </c>
      <c r="Q98" s="421"/>
      <c r="R98" s="215" t="str">
        <f t="shared" si="16"/>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20"/>
        <v>Camp capacity</v>
      </c>
      <c r="O99" s="419" t="str">
        <f t="shared" si="20"/>
        <v>-</v>
      </c>
      <c r="P99" s="419" t="str">
        <f t="shared" si="17"/>
        <v>Camp capacity</v>
      </c>
      <c r="Q99" s="421">
        <v>1</v>
      </c>
      <c r="R99" s="215" t="str">
        <f t="shared" si="16"/>
        <v>#</v>
      </c>
    </row>
    <row r="100" spans="1:27" s="14" customFormat="1" ht="28.5" outlineLevel="1" x14ac:dyDescent="0.2">
      <c r="A100" s="4"/>
      <c r="B100" s="496" t="s">
        <v>102</v>
      </c>
      <c r="C100" s="495" t="s">
        <v>264</v>
      </c>
      <c r="D100" s="64" t="s">
        <v>103</v>
      </c>
      <c r="E100" s="65" t="s">
        <v>79</v>
      </c>
      <c r="F100" s="222">
        <v>0</v>
      </c>
      <c r="G100" s="222">
        <v>0</v>
      </c>
      <c r="H100" s="222">
        <v>0</v>
      </c>
      <c r="I100" s="222">
        <v>0</v>
      </c>
      <c r="J100" s="222">
        <v>0</v>
      </c>
      <c r="K100" s="490" t="s">
        <v>174</v>
      </c>
      <c r="L100" s="57"/>
      <c r="M100" s="4"/>
      <c r="N100" s="212" t="str">
        <f>IF(B100="",N99,B100)</f>
        <v>Flowlines / pipelines</v>
      </c>
      <c r="O100" s="419" t="str">
        <f>IF(C100="",O99,C100)</f>
        <v>Above and below ground</v>
      </c>
      <c r="P100" s="419" t="str">
        <f t="shared" si="17"/>
        <v>Flowlines / pipelines - Above and below ground</v>
      </c>
      <c r="Q100" s="421">
        <v>1</v>
      </c>
      <c r="R100" s="215" t="str">
        <f t="shared" si="16"/>
        <v>m</v>
      </c>
    </row>
    <row r="101" spans="1:27" s="14" customFormat="1" ht="28.5" outlineLevel="1" x14ac:dyDescent="0.2">
      <c r="A101" s="4"/>
      <c r="B101" s="496" t="s">
        <v>104</v>
      </c>
      <c r="C101" s="495" t="s">
        <v>273</v>
      </c>
      <c r="D101" s="64" t="s">
        <v>85</v>
      </c>
      <c r="E101" s="65" t="s">
        <v>82</v>
      </c>
      <c r="F101" s="225">
        <f>F56</f>
        <v>0</v>
      </c>
      <c r="G101" s="225">
        <f>G56</f>
        <v>0</v>
      </c>
      <c r="H101" s="225">
        <f>H56</f>
        <v>0</v>
      </c>
      <c r="I101" s="225">
        <f>I56</f>
        <v>0</v>
      </c>
      <c r="J101" s="225">
        <f>J56</f>
        <v>0</v>
      </c>
      <c r="K101" s="490" t="s">
        <v>175</v>
      </c>
      <c r="L101" s="57"/>
      <c r="M101" s="4"/>
      <c r="N101" s="217" t="str">
        <f>IF(B101="",N100,B101)</f>
        <v xml:space="preserve">Contaminated soil testing </v>
      </c>
      <c r="O101" s="218" t="str">
        <f>IF(C101="",O100,C101)</f>
        <v>Per well pad</v>
      </c>
      <c r="P101" s="218" t="str">
        <f t="shared" si="17"/>
        <v>Contaminated soil testing  - Per well pad</v>
      </c>
      <c r="Q101" s="234">
        <v>1</v>
      </c>
      <c r="R101" s="220" t="str">
        <f t="shared" si="16"/>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5.2.4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20"/>
        <v>General waste</v>
      </c>
      <c r="O104" s="229" t="str">
        <f t="shared" si="20"/>
        <v>-</v>
      </c>
      <c r="P104" s="229" t="str">
        <f t="shared" si="17"/>
        <v>General waste</v>
      </c>
      <c r="Q104" s="232">
        <v>1</v>
      </c>
      <c r="R104" s="231" t="str">
        <f t="shared" ref="R104:R129" si="22">E104</f>
        <v>tonnes</v>
      </c>
    </row>
    <row r="105" spans="1:27" s="14" customFormat="1" ht="28.5" outlineLevel="1" x14ac:dyDescent="0.2">
      <c r="A105" s="4"/>
      <c r="B105" s="496" t="s">
        <v>109</v>
      </c>
      <c r="C105" s="196" t="s">
        <v>70</v>
      </c>
      <c r="D105" s="55" t="s">
        <v>176</v>
      </c>
      <c r="E105" s="198" t="s">
        <v>177</v>
      </c>
      <c r="F105" s="222">
        <v>0</v>
      </c>
      <c r="G105" s="222">
        <v>0</v>
      </c>
      <c r="H105" s="222">
        <v>0</v>
      </c>
      <c r="I105" s="222">
        <v>0</v>
      </c>
      <c r="J105" s="222">
        <v>0</v>
      </c>
      <c r="K105" s="110" t="s">
        <v>178</v>
      </c>
      <c r="L105" s="57"/>
      <c r="M105" s="4"/>
      <c r="N105" s="212" t="str">
        <f t="shared" si="20"/>
        <v>Listed waste</v>
      </c>
      <c r="O105" s="235" t="str">
        <f t="shared" si="20"/>
        <v>-</v>
      </c>
      <c r="P105" s="213" t="str">
        <f t="shared" si="17"/>
        <v>Listed waste</v>
      </c>
      <c r="Q105" s="233">
        <v>1</v>
      </c>
      <c r="R105" s="215" t="str">
        <f t="shared" si="22"/>
        <v>tonnes</v>
      </c>
    </row>
    <row r="106" spans="1:27" s="14" customFormat="1" outlineLevel="1" x14ac:dyDescent="0.2">
      <c r="A106" s="4"/>
      <c r="B106" s="496" t="s">
        <v>112</v>
      </c>
      <c r="C106" s="196" t="s">
        <v>70</v>
      </c>
      <c r="D106" s="194" t="s">
        <v>87</v>
      </c>
      <c r="E106" s="67" t="s">
        <v>177</v>
      </c>
      <c r="F106" s="222">
        <v>0</v>
      </c>
      <c r="G106" s="222">
        <v>0</v>
      </c>
      <c r="H106" s="222">
        <v>0</v>
      </c>
      <c r="I106" s="222">
        <v>0</v>
      </c>
      <c r="J106" s="222">
        <v>0</v>
      </c>
      <c r="K106" s="110" t="s">
        <v>113</v>
      </c>
      <c r="L106" s="57"/>
      <c r="M106" s="4"/>
      <c r="N106" s="212" t="str">
        <f t="shared" si="20"/>
        <v xml:space="preserve">Chemical waste </v>
      </c>
      <c r="O106" s="235" t="str">
        <f t="shared" si="20"/>
        <v>-</v>
      </c>
      <c r="P106" s="213" t="str">
        <f t="shared" si="17"/>
        <v xml:space="preserve">Chemical waste </v>
      </c>
      <c r="Q106" s="233">
        <v>1</v>
      </c>
      <c r="R106" s="215" t="str">
        <f t="shared" si="22"/>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20"/>
        <v>-</v>
      </c>
      <c r="P107" s="213" t="str">
        <f t="shared" si="17"/>
        <v/>
      </c>
      <c r="Q107" s="233"/>
      <c r="R107" s="215">
        <f t="shared" si="22"/>
        <v>0</v>
      </c>
    </row>
    <row r="108" spans="1:27" s="14" customFormat="1" ht="42.75" outlineLevel="1" x14ac:dyDescent="0.2">
      <c r="A108" s="4"/>
      <c r="B108" s="189" t="s">
        <v>180</v>
      </c>
      <c r="C108" s="495" t="s">
        <v>70</v>
      </c>
      <c r="D108" s="193" t="s">
        <v>87</v>
      </c>
      <c r="E108" s="198" t="s">
        <v>181</v>
      </c>
      <c r="F108" s="222">
        <v>0</v>
      </c>
      <c r="G108" s="222">
        <v>0</v>
      </c>
      <c r="H108" s="222">
        <v>0</v>
      </c>
      <c r="I108" s="222">
        <v>0</v>
      </c>
      <c r="J108" s="222">
        <v>0</v>
      </c>
      <c r="K108" s="110" t="s">
        <v>182</v>
      </c>
      <c r="L108" s="57"/>
      <c r="M108" s="4"/>
      <c r="N108" s="212" t="str">
        <f t="shared" si="20"/>
        <v>Total volume of hydraulic fracking fluid to be used</v>
      </c>
      <c r="O108" s="236" t="str">
        <f t="shared" si="20"/>
        <v>-</v>
      </c>
      <c r="P108" s="213" t="str">
        <f t="shared" si="17"/>
        <v/>
      </c>
      <c r="Q108" s="233"/>
      <c r="R108" s="215" t="str">
        <f t="shared" si="22"/>
        <v>ML</v>
      </c>
    </row>
    <row r="109" spans="1:27" s="14" customFormat="1" ht="99.75" outlineLevel="1" x14ac:dyDescent="0.2">
      <c r="A109" s="4"/>
      <c r="B109" s="189" t="s">
        <v>183</v>
      </c>
      <c r="C109" s="495" t="s">
        <v>70</v>
      </c>
      <c r="D109" s="194" t="s">
        <v>184</v>
      </c>
      <c r="E109" s="67" t="s">
        <v>185</v>
      </c>
      <c r="F109" s="190">
        <v>0</v>
      </c>
      <c r="G109" s="190">
        <v>0</v>
      </c>
      <c r="H109" s="190">
        <v>0</v>
      </c>
      <c r="I109" s="190">
        <v>0</v>
      </c>
      <c r="J109" s="190">
        <v>0</v>
      </c>
      <c r="K109" s="110" t="s">
        <v>186</v>
      </c>
      <c r="L109" s="57"/>
      <c r="M109" s="4"/>
      <c r="N109" s="212" t="str">
        <f t="shared" ref="N109:O124" si="23">IF(B109="",N108,B109)</f>
        <v>Percentage expected to return to the surface (flowback fluid)</v>
      </c>
      <c r="O109" s="236" t="str">
        <f t="shared" si="23"/>
        <v>-</v>
      </c>
      <c r="P109" s="213" t="str">
        <f t="shared" si="17"/>
        <v/>
      </c>
      <c r="Q109" s="233"/>
      <c r="R109" s="215" t="str">
        <f t="shared" si="22"/>
        <v>%</v>
      </c>
    </row>
    <row r="110" spans="1:27" s="14" customFormat="1" ht="57" outlineLevel="1" x14ac:dyDescent="0.2">
      <c r="A110" s="4"/>
      <c r="B110" s="189" t="s">
        <v>187</v>
      </c>
      <c r="C110" s="495" t="s">
        <v>70</v>
      </c>
      <c r="D110" s="194" t="s">
        <v>184</v>
      </c>
      <c r="E110" s="67" t="s">
        <v>185</v>
      </c>
      <c r="F110" s="190">
        <v>0</v>
      </c>
      <c r="G110" s="190">
        <v>0</v>
      </c>
      <c r="H110" s="190">
        <v>0</v>
      </c>
      <c r="I110" s="190">
        <v>0</v>
      </c>
      <c r="J110" s="190">
        <v>0</v>
      </c>
      <c r="K110" s="110" t="s">
        <v>188</v>
      </c>
      <c r="L110" s="57"/>
      <c r="M110" s="4"/>
      <c r="N110" s="212" t="str">
        <f t="shared" si="23"/>
        <v>Evaporation rate expected</v>
      </c>
      <c r="O110" s="236" t="str">
        <f t="shared" si="23"/>
        <v>-</v>
      </c>
      <c r="P110" s="213" t="str">
        <f t="shared" si="17"/>
        <v/>
      </c>
      <c r="Q110" s="233"/>
      <c r="R110" s="215" t="str">
        <f t="shared" si="22"/>
        <v>%</v>
      </c>
    </row>
    <row r="111" spans="1:27" s="14" customFormat="1" ht="42.75" outlineLevel="1" x14ac:dyDescent="0.2">
      <c r="A111" s="4"/>
      <c r="B111" s="189" t="s">
        <v>189</v>
      </c>
      <c r="C111" s="196" t="s">
        <v>70</v>
      </c>
      <c r="D111" s="194" t="s">
        <v>87</v>
      </c>
      <c r="E111" s="67" t="s">
        <v>181</v>
      </c>
      <c r="F111" s="459">
        <f t="shared" ref="F111:J111" si="24">(F108*F109)-((F108*F109)*F110)</f>
        <v>0</v>
      </c>
      <c r="G111" s="383">
        <f t="shared" si="24"/>
        <v>0</v>
      </c>
      <c r="H111" s="383">
        <f t="shared" si="24"/>
        <v>0</v>
      </c>
      <c r="I111" s="383">
        <f t="shared" si="24"/>
        <v>0</v>
      </c>
      <c r="J111" s="383">
        <f t="shared" si="24"/>
        <v>0</v>
      </c>
      <c r="K111" s="110" t="s">
        <v>190</v>
      </c>
      <c r="L111" s="57"/>
      <c r="M111" s="4"/>
      <c r="N111" s="212" t="str">
        <f t="shared" si="23"/>
        <v>Volume to be disposed</v>
      </c>
      <c r="O111" s="213" t="str">
        <f t="shared" si="23"/>
        <v>-</v>
      </c>
      <c r="P111" s="213" t="str">
        <f>N107</f>
        <v>Hydraulic Fracking Fluid</v>
      </c>
      <c r="Q111" s="233">
        <v>1</v>
      </c>
      <c r="R111" s="215" t="str">
        <f t="shared" si="22"/>
        <v>ML</v>
      </c>
    </row>
    <row r="112" spans="1:27" s="14" customFormat="1" ht="71.25" outlineLevel="1" x14ac:dyDescent="0.2">
      <c r="A112" s="4"/>
      <c r="B112" s="477" t="s">
        <v>302</v>
      </c>
      <c r="C112" s="495" t="s">
        <v>70</v>
      </c>
      <c r="D112" s="194" t="s">
        <v>191</v>
      </c>
      <c r="E112" s="495" t="s">
        <v>192</v>
      </c>
      <c r="F112" s="237">
        <v>0</v>
      </c>
      <c r="G112" s="237">
        <v>0</v>
      </c>
      <c r="H112" s="237">
        <v>0</v>
      </c>
      <c r="I112" s="237">
        <v>0</v>
      </c>
      <c r="J112" s="237">
        <v>0</v>
      </c>
      <c r="K112" s="110" t="s">
        <v>193</v>
      </c>
      <c r="L112" s="57"/>
      <c r="M112" s="4"/>
      <c r="N112" s="212" t="str">
        <f t="shared" si="23"/>
        <v>Expected TDS after evaporation</v>
      </c>
      <c r="O112" s="236" t="str">
        <f t="shared" si="23"/>
        <v>-</v>
      </c>
      <c r="P112" s="213" t="str">
        <f t="shared" si="17"/>
        <v/>
      </c>
      <c r="Q112" s="233"/>
      <c r="R112" s="417" t="str">
        <f t="shared" si="22"/>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23"/>
        <v>Produced water (formation water)</v>
      </c>
      <c r="O113" s="213" t="str">
        <f t="shared" si="23"/>
        <v>-</v>
      </c>
      <c r="P113" s="213" t="str">
        <f t="shared" si="17"/>
        <v/>
      </c>
      <c r="Q113" s="233"/>
      <c r="R113" s="215">
        <f t="shared" si="22"/>
        <v>0</v>
      </c>
    </row>
    <row r="114" spans="1:18" s="14" customFormat="1" ht="128.25" outlineLevel="1" x14ac:dyDescent="0.2">
      <c r="A114" s="4"/>
      <c r="B114" s="189" t="s">
        <v>195</v>
      </c>
      <c r="C114" s="495" t="s">
        <v>70</v>
      </c>
      <c r="D114" s="193" t="s">
        <v>87</v>
      </c>
      <c r="E114" s="198" t="s">
        <v>181</v>
      </c>
      <c r="F114" s="222">
        <v>0</v>
      </c>
      <c r="G114" s="222">
        <v>0</v>
      </c>
      <c r="H114" s="222">
        <v>0</v>
      </c>
      <c r="I114" s="222">
        <v>0</v>
      </c>
      <c r="J114" s="222">
        <v>0</v>
      </c>
      <c r="K114" s="110" t="s">
        <v>196</v>
      </c>
      <c r="L114" s="57"/>
      <c r="M114" s="4"/>
      <c r="N114" s="212" t="str">
        <f t="shared" si="23"/>
        <v>Expected volume of produced water</v>
      </c>
      <c r="O114" s="236" t="str">
        <f t="shared" si="23"/>
        <v>-</v>
      </c>
      <c r="P114" s="213" t="str">
        <f t="shared" si="17"/>
        <v/>
      </c>
      <c r="Q114" s="233"/>
      <c r="R114" s="215" t="str">
        <f t="shared" si="22"/>
        <v>ML</v>
      </c>
    </row>
    <row r="115" spans="1:18" s="14" customFormat="1" ht="57" outlineLevel="1" x14ac:dyDescent="0.2">
      <c r="A115" s="4"/>
      <c r="B115" s="189" t="s">
        <v>187</v>
      </c>
      <c r="C115" s="495" t="s">
        <v>70</v>
      </c>
      <c r="D115" s="194" t="s">
        <v>184</v>
      </c>
      <c r="E115" s="67" t="s">
        <v>185</v>
      </c>
      <c r="F115" s="190">
        <v>0</v>
      </c>
      <c r="G115" s="190">
        <v>0</v>
      </c>
      <c r="H115" s="190">
        <v>0</v>
      </c>
      <c r="I115" s="190">
        <v>0</v>
      </c>
      <c r="J115" s="190">
        <v>0</v>
      </c>
      <c r="K115" s="110" t="s">
        <v>188</v>
      </c>
      <c r="L115" s="57"/>
      <c r="M115" s="4"/>
      <c r="N115" s="212" t="str">
        <f t="shared" si="23"/>
        <v>Evaporation rate expected</v>
      </c>
      <c r="O115" s="236" t="str">
        <f t="shared" si="23"/>
        <v>-</v>
      </c>
      <c r="P115" s="213" t="str">
        <f t="shared" si="17"/>
        <v/>
      </c>
      <c r="Q115" s="233"/>
      <c r="R115" s="215" t="str">
        <f t="shared" si="22"/>
        <v>%</v>
      </c>
    </row>
    <row r="116" spans="1:18" s="14" customFormat="1" ht="42.75" outlineLevel="1" x14ac:dyDescent="0.2">
      <c r="A116" s="4"/>
      <c r="B116" s="189" t="s">
        <v>189</v>
      </c>
      <c r="C116" s="196" t="s">
        <v>70</v>
      </c>
      <c r="D116" s="55" t="s">
        <v>87</v>
      </c>
      <c r="E116" s="198" t="s">
        <v>181</v>
      </c>
      <c r="F116" s="383">
        <f t="shared" ref="F116:J116" si="25">F114-(F114*F115)</f>
        <v>0</v>
      </c>
      <c r="G116" s="383">
        <f t="shared" si="25"/>
        <v>0</v>
      </c>
      <c r="H116" s="383">
        <f t="shared" si="25"/>
        <v>0</v>
      </c>
      <c r="I116" s="383">
        <f t="shared" si="25"/>
        <v>0</v>
      </c>
      <c r="J116" s="383">
        <f t="shared" si="25"/>
        <v>0</v>
      </c>
      <c r="K116" s="110" t="s">
        <v>190</v>
      </c>
      <c r="L116" s="57"/>
      <c r="M116" s="4"/>
      <c r="N116" s="216" t="str">
        <f t="shared" si="23"/>
        <v>Volume to be disposed</v>
      </c>
      <c r="O116" s="236" t="str">
        <f t="shared" si="23"/>
        <v>-</v>
      </c>
      <c r="P116" s="213" t="str">
        <f>N113</f>
        <v>Produced water (formation water)</v>
      </c>
      <c r="Q116" s="233">
        <v>1</v>
      </c>
      <c r="R116" s="215" t="str">
        <f t="shared" si="22"/>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23"/>
        <v>Expected TDS after evaporation</v>
      </c>
      <c r="O117" s="236" t="str">
        <f t="shared" si="23"/>
        <v>-</v>
      </c>
      <c r="P117" s="213" t="str">
        <f t="shared" si="17"/>
        <v/>
      </c>
      <c r="Q117" s="416"/>
      <c r="R117" s="417" t="str">
        <f t="shared" si="22"/>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23"/>
        <v>Other Wastewater</v>
      </c>
      <c r="O118" s="213" t="str">
        <f t="shared" si="23"/>
        <v>-</v>
      </c>
      <c r="P118" s="213" t="str">
        <f t="shared" si="17"/>
        <v/>
      </c>
      <c r="Q118" s="233"/>
      <c r="R118" s="215">
        <f t="shared" si="22"/>
        <v>0</v>
      </c>
    </row>
    <row r="119" spans="1:18" s="14" customFormat="1" ht="42.75" outlineLevel="1" x14ac:dyDescent="0.2">
      <c r="A119" s="4"/>
      <c r="B119" s="189" t="s">
        <v>198</v>
      </c>
      <c r="C119" s="495" t="s">
        <v>70</v>
      </c>
      <c r="D119" s="193" t="s">
        <v>87</v>
      </c>
      <c r="E119" s="198" t="s">
        <v>181</v>
      </c>
      <c r="F119" s="222">
        <v>0</v>
      </c>
      <c r="G119" s="222">
        <v>0</v>
      </c>
      <c r="H119" s="222">
        <v>0</v>
      </c>
      <c r="I119" s="222">
        <v>0</v>
      </c>
      <c r="J119" s="222">
        <v>0</v>
      </c>
      <c r="K119" s="110" t="s">
        <v>199</v>
      </c>
      <c r="L119" s="57"/>
      <c r="M119" s="4"/>
      <c r="N119" s="212" t="str">
        <f t="shared" si="23"/>
        <v>Expected volume of other wastewater</v>
      </c>
      <c r="O119" s="235" t="str">
        <f t="shared" si="23"/>
        <v>-</v>
      </c>
      <c r="P119" s="213" t="str">
        <f t="shared" si="17"/>
        <v/>
      </c>
      <c r="Q119" s="233"/>
      <c r="R119" s="215" t="str">
        <f t="shared" si="22"/>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23"/>
        <v>Evaporation rate expected</v>
      </c>
      <c r="O120" s="235" t="str">
        <f t="shared" si="23"/>
        <v>-</v>
      </c>
      <c r="P120" s="213" t="str">
        <f t="shared" si="17"/>
        <v/>
      </c>
      <c r="Q120" s="233"/>
      <c r="R120" s="215" t="str">
        <f t="shared" si="22"/>
        <v>%</v>
      </c>
    </row>
    <row r="121" spans="1:18" s="14" customFormat="1" ht="44.65" customHeight="1" outlineLevel="1" x14ac:dyDescent="0.2">
      <c r="A121" s="4"/>
      <c r="B121" s="189" t="s">
        <v>189</v>
      </c>
      <c r="C121" s="495" t="s">
        <v>70</v>
      </c>
      <c r="D121" s="193" t="s">
        <v>87</v>
      </c>
      <c r="E121" s="198" t="s">
        <v>181</v>
      </c>
      <c r="F121" s="383">
        <f t="shared" ref="F121:J121" si="26">F119-(F119*F120)</f>
        <v>0</v>
      </c>
      <c r="G121" s="383">
        <f t="shared" si="26"/>
        <v>0</v>
      </c>
      <c r="H121" s="383">
        <f t="shared" si="26"/>
        <v>0</v>
      </c>
      <c r="I121" s="383">
        <f t="shared" si="26"/>
        <v>0</v>
      </c>
      <c r="J121" s="383">
        <f t="shared" si="26"/>
        <v>0</v>
      </c>
      <c r="K121" s="110" t="s">
        <v>190</v>
      </c>
      <c r="L121" s="57"/>
      <c r="M121" s="4"/>
      <c r="N121" s="212" t="str">
        <f t="shared" si="23"/>
        <v>Volume to be disposed</v>
      </c>
      <c r="O121" s="235" t="str">
        <f t="shared" si="23"/>
        <v>-</v>
      </c>
      <c r="P121" s="213" t="str">
        <f>N118</f>
        <v>Other Wastewater</v>
      </c>
      <c r="Q121" s="233">
        <v>1</v>
      </c>
      <c r="R121" s="215" t="str">
        <f t="shared" si="22"/>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23"/>
        <v>Expected TDS after evaporation</v>
      </c>
      <c r="O122" s="235" t="str">
        <f t="shared" si="23"/>
        <v>-</v>
      </c>
      <c r="P122" s="213" t="str">
        <f t="shared" si="17"/>
        <v/>
      </c>
      <c r="Q122" s="233"/>
      <c r="R122" s="417" t="str">
        <f t="shared" si="22"/>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23"/>
        <v>Drilling Muds and Cuttings</v>
      </c>
      <c r="O123" s="236" t="str">
        <f t="shared" si="23"/>
        <v>-</v>
      </c>
      <c r="P123" s="213" t="str">
        <f t="shared" si="17"/>
        <v/>
      </c>
      <c r="Q123" s="233"/>
      <c r="R123" s="215"/>
    </row>
    <row r="124" spans="1:18" s="14" customFormat="1" ht="71.650000000000006" customHeight="1" outlineLevel="1" x14ac:dyDescent="0.2">
      <c r="A124" s="4"/>
      <c r="B124" s="189" t="s">
        <v>304</v>
      </c>
      <c r="C124" s="495" t="s">
        <v>70</v>
      </c>
      <c r="D124" s="194" t="s">
        <v>87</v>
      </c>
      <c r="E124" s="67" t="s">
        <v>133</v>
      </c>
      <c r="F124" s="222">
        <v>0</v>
      </c>
      <c r="G124" s="222">
        <v>0</v>
      </c>
      <c r="H124" s="222">
        <v>0</v>
      </c>
      <c r="I124" s="222">
        <v>0</v>
      </c>
      <c r="J124" s="222">
        <v>0</v>
      </c>
      <c r="K124" s="491" t="s">
        <v>317</v>
      </c>
      <c r="L124" s="57"/>
      <c r="M124" s="4"/>
      <c r="N124" s="212" t="str">
        <f t="shared" si="23"/>
        <v>Expected volume of drilling muds and cuttings</v>
      </c>
      <c r="O124" s="236" t="str">
        <f t="shared" si="23"/>
        <v>-</v>
      </c>
      <c r="P124" s="213" t="str">
        <f t="shared" si="17"/>
        <v/>
      </c>
      <c r="Q124" s="233"/>
      <c r="R124" s="215"/>
    </row>
    <row r="125" spans="1:18" s="14" customFormat="1" ht="37.5" customHeight="1" outlineLevel="1" x14ac:dyDescent="0.2">
      <c r="A125" s="4"/>
      <c r="B125" s="189" t="s">
        <v>187</v>
      </c>
      <c r="C125" s="495" t="s">
        <v>70</v>
      </c>
      <c r="D125" s="194" t="s">
        <v>184</v>
      </c>
      <c r="E125" s="198" t="s">
        <v>185</v>
      </c>
      <c r="F125" s="190">
        <v>0</v>
      </c>
      <c r="G125" s="190">
        <v>0</v>
      </c>
      <c r="H125" s="190">
        <v>0</v>
      </c>
      <c r="I125" s="190">
        <v>0</v>
      </c>
      <c r="J125" s="190">
        <v>0</v>
      </c>
      <c r="K125" s="110" t="s">
        <v>202</v>
      </c>
      <c r="L125" s="57"/>
      <c r="M125" s="4"/>
      <c r="N125" s="212" t="str">
        <f t="shared" ref="N125:O129" si="27">IF(B125="",N124,B125)</f>
        <v>Evaporation rate expected</v>
      </c>
      <c r="O125" s="236" t="str">
        <f t="shared" si="27"/>
        <v>-</v>
      </c>
      <c r="P125" s="213" t="str">
        <f t="shared" si="17"/>
        <v/>
      </c>
      <c r="Q125" s="233"/>
      <c r="R125" s="215"/>
    </row>
    <row r="126" spans="1:18" s="14" customFormat="1" ht="40.15" customHeight="1" outlineLevel="1" x14ac:dyDescent="0.2">
      <c r="A126" s="4"/>
      <c r="B126" s="477" t="s">
        <v>189</v>
      </c>
      <c r="C126" s="495" t="s">
        <v>70</v>
      </c>
      <c r="D126" s="194" t="s">
        <v>87</v>
      </c>
      <c r="E126" s="198" t="s">
        <v>169</v>
      </c>
      <c r="F126" s="383">
        <f>F124-(F124*F125)</f>
        <v>0</v>
      </c>
      <c r="G126" s="383">
        <f t="shared" ref="G126:J126" si="28">G124-(G124*G125)</f>
        <v>0</v>
      </c>
      <c r="H126" s="383">
        <f t="shared" si="28"/>
        <v>0</v>
      </c>
      <c r="I126" s="383">
        <f t="shared" si="28"/>
        <v>0</v>
      </c>
      <c r="J126" s="383">
        <f t="shared" si="28"/>
        <v>0</v>
      </c>
      <c r="K126" s="110" t="s">
        <v>190</v>
      </c>
      <c r="L126" s="57"/>
      <c r="M126" s="4"/>
      <c r="N126" s="212" t="str">
        <f t="shared" si="27"/>
        <v>Volume to be disposed</v>
      </c>
      <c r="O126" s="236" t="str">
        <f t="shared" si="27"/>
        <v>-</v>
      </c>
      <c r="P126" s="213" t="str">
        <f>N123</f>
        <v>Drilling Muds and Cuttings</v>
      </c>
      <c r="Q126" s="233">
        <v>1</v>
      </c>
      <c r="R126" s="215"/>
    </row>
    <row r="127" spans="1:18" s="14" customFormat="1" ht="71.25" outlineLevel="1" x14ac:dyDescent="0.2">
      <c r="A127" s="4"/>
      <c r="B127" s="477" t="s">
        <v>302</v>
      </c>
      <c r="C127" s="495" t="s">
        <v>70</v>
      </c>
      <c r="D127" s="194" t="s">
        <v>191</v>
      </c>
      <c r="E127" s="199" t="s">
        <v>192</v>
      </c>
      <c r="F127" s="237">
        <v>0</v>
      </c>
      <c r="G127" s="237">
        <v>0</v>
      </c>
      <c r="H127" s="237">
        <v>0</v>
      </c>
      <c r="I127" s="237">
        <v>0</v>
      </c>
      <c r="J127" s="237">
        <v>0</v>
      </c>
      <c r="K127" s="110" t="s">
        <v>203</v>
      </c>
      <c r="L127" s="57"/>
      <c r="M127" s="4"/>
      <c r="N127" s="212" t="str">
        <f t="shared" si="27"/>
        <v>Expected TDS after evaporation</v>
      </c>
      <c r="O127" s="236" t="str">
        <f t="shared" si="27"/>
        <v>-</v>
      </c>
      <c r="P127" s="213" t="str">
        <f t="shared" si="17"/>
        <v/>
      </c>
      <c r="Q127" s="233"/>
      <c r="R127" s="215"/>
    </row>
    <row r="128" spans="1:18" s="14" customFormat="1" ht="28.5" outlineLevel="1" x14ac:dyDescent="0.2">
      <c r="A128" s="4"/>
      <c r="B128" s="71" t="s">
        <v>130</v>
      </c>
      <c r="C128" s="495" t="s">
        <v>70</v>
      </c>
      <c r="D128" s="194" t="s">
        <v>82</v>
      </c>
      <c r="E128" s="198" t="s">
        <v>222</v>
      </c>
      <c r="F128" s="222">
        <v>0</v>
      </c>
      <c r="G128" s="222">
        <v>0</v>
      </c>
      <c r="H128" s="222">
        <v>0</v>
      </c>
      <c r="I128" s="222">
        <v>0</v>
      </c>
      <c r="J128" s="222">
        <v>0</v>
      </c>
      <c r="K128" s="110" t="s">
        <v>204</v>
      </c>
      <c r="L128" s="57"/>
      <c r="M128" s="4"/>
      <c r="N128" s="212" t="str">
        <f t="shared" si="27"/>
        <v>Liners</v>
      </c>
      <c r="O128" s="236" t="str">
        <f>IF(C128="",O123,C128)</f>
        <v>-</v>
      </c>
      <c r="P128" s="213" t="str">
        <f t="shared" si="17"/>
        <v>Liners</v>
      </c>
      <c r="Q128" s="233">
        <v>1</v>
      </c>
      <c r="R128" s="215" t="str">
        <f t="shared" si="22"/>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27"/>
        <v>Well pad materials</v>
      </c>
      <c r="O129" s="418" t="str">
        <f t="shared" si="27"/>
        <v>-</v>
      </c>
      <c r="P129" s="218" t="str">
        <f t="shared" si="17"/>
        <v>Well pad materials</v>
      </c>
      <c r="Q129" s="234">
        <v>1</v>
      </c>
      <c r="R129" s="220" t="str">
        <f t="shared" si="22"/>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5.3 Summary of units used to calculate the security value by disturbance category</v>
      </c>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8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85"/>
      <c r="L133" s="4"/>
      <c r="M133" s="4"/>
    </row>
    <row r="134" spans="1:20" s="14" customFormat="1" x14ac:dyDescent="0.2">
      <c r="A134" s="4"/>
      <c r="B134" s="621" t="str">
        <f>B29</f>
        <v>Flowline right of ways - By track</v>
      </c>
      <c r="C134" s="622"/>
      <c r="D134" s="622"/>
      <c r="E134" s="44" t="s">
        <v>136</v>
      </c>
      <c r="F134" s="239">
        <f t="shared" ref="F134:J169" si="29">SUMIF($P$26:$P$129,$B134,F$26:F$129)</f>
        <v>0</v>
      </c>
      <c r="G134" s="239">
        <f t="shared" si="29"/>
        <v>0</v>
      </c>
      <c r="H134" s="239">
        <f t="shared" si="29"/>
        <v>0</v>
      </c>
      <c r="I134" s="239">
        <f t="shared" si="29"/>
        <v>0</v>
      </c>
      <c r="J134" s="240">
        <f t="shared" si="29"/>
        <v>0</v>
      </c>
      <c r="K134" s="485"/>
      <c r="L134" s="4"/>
      <c r="M134" s="4"/>
    </row>
    <row r="135" spans="1:20" s="14" customFormat="1" x14ac:dyDescent="0.2">
      <c r="A135" s="4"/>
      <c r="B135" s="621" t="str">
        <f>B30</f>
        <v>Flowline right of ways - Not by track</v>
      </c>
      <c r="C135" s="622"/>
      <c r="D135" s="622"/>
      <c r="E135" s="44" t="s">
        <v>136</v>
      </c>
      <c r="F135" s="239">
        <f t="shared" si="29"/>
        <v>0</v>
      </c>
      <c r="G135" s="239">
        <f t="shared" si="29"/>
        <v>0</v>
      </c>
      <c r="H135" s="239">
        <f t="shared" si="29"/>
        <v>0</v>
      </c>
      <c r="I135" s="239">
        <f t="shared" si="29"/>
        <v>0</v>
      </c>
      <c r="J135" s="240">
        <f t="shared" si="29"/>
        <v>0</v>
      </c>
      <c r="K135" s="485"/>
      <c r="L135" s="4"/>
      <c r="M135" s="4"/>
    </row>
    <row r="136" spans="1:20" s="14" customFormat="1" x14ac:dyDescent="0.2">
      <c r="A136" s="4"/>
      <c r="B136" s="621" t="str">
        <f>B31</f>
        <v>Access track (existing)</v>
      </c>
      <c r="C136" s="622"/>
      <c r="D136" s="622"/>
      <c r="E136" s="44" t="s">
        <v>64</v>
      </c>
      <c r="F136" s="239">
        <f t="shared" si="29"/>
        <v>0</v>
      </c>
      <c r="G136" s="239">
        <f t="shared" si="29"/>
        <v>0</v>
      </c>
      <c r="H136" s="239">
        <f t="shared" si="29"/>
        <v>0</v>
      </c>
      <c r="I136" s="239">
        <f t="shared" si="29"/>
        <v>0</v>
      </c>
      <c r="J136" s="240">
        <f t="shared" si="29"/>
        <v>0</v>
      </c>
      <c r="K136" s="48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29"/>
        <v>0</v>
      </c>
      <c r="G137" s="239">
        <f t="shared" si="29"/>
        <v>0</v>
      </c>
      <c r="H137" s="239">
        <f t="shared" si="29"/>
        <v>0</v>
      </c>
      <c r="I137" s="239">
        <f t="shared" si="29"/>
        <v>0</v>
      </c>
      <c r="J137" s="240">
        <f t="shared" si="29"/>
        <v>0</v>
      </c>
      <c r="K137" s="48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29"/>
        <v>0</v>
      </c>
      <c r="G138" s="239">
        <f t="shared" si="29"/>
        <v>0</v>
      </c>
      <c r="H138" s="239">
        <f t="shared" si="29"/>
        <v>0</v>
      </c>
      <c r="I138" s="239">
        <f t="shared" si="29"/>
        <v>0</v>
      </c>
      <c r="J138" s="240">
        <f t="shared" si="29"/>
        <v>0</v>
      </c>
      <c r="K138" s="48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29"/>
        <v>0</v>
      </c>
      <c r="G139" s="239">
        <f t="shared" si="29"/>
        <v>0</v>
      </c>
      <c r="H139" s="239">
        <f t="shared" si="29"/>
        <v>0</v>
      </c>
      <c r="I139" s="239">
        <f t="shared" si="29"/>
        <v>0</v>
      </c>
      <c r="J139" s="240">
        <f t="shared" si="29"/>
        <v>0</v>
      </c>
      <c r="K139" s="48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29"/>
        <v>0</v>
      </c>
      <c r="G140" s="239">
        <f t="shared" si="29"/>
        <v>0</v>
      </c>
      <c r="H140" s="239">
        <f t="shared" si="29"/>
        <v>0</v>
      </c>
      <c r="I140" s="239">
        <f t="shared" si="29"/>
        <v>0</v>
      </c>
      <c r="J140" s="240">
        <f t="shared" si="29"/>
        <v>0</v>
      </c>
      <c r="K140" s="48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29"/>
        <v>0</v>
      </c>
      <c r="G141" s="239">
        <f t="shared" si="29"/>
        <v>0</v>
      </c>
      <c r="H141" s="239">
        <f t="shared" si="29"/>
        <v>0</v>
      </c>
      <c r="I141" s="239">
        <f t="shared" si="29"/>
        <v>0</v>
      </c>
      <c r="J141" s="240">
        <f t="shared" si="29"/>
        <v>0</v>
      </c>
      <c r="K141" s="48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29"/>
        <v>0</v>
      </c>
      <c r="G142" s="239">
        <f t="shared" si="29"/>
        <v>0</v>
      </c>
      <c r="H142" s="239">
        <f t="shared" si="29"/>
        <v>0</v>
      </c>
      <c r="I142" s="239">
        <f t="shared" si="29"/>
        <v>0</v>
      </c>
      <c r="J142" s="240">
        <f t="shared" si="29"/>
        <v>0</v>
      </c>
      <c r="K142" s="485"/>
      <c r="L142" s="4"/>
      <c r="M142" s="4"/>
      <c r="N142" s="155"/>
      <c r="O142" s="155"/>
      <c r="P142" s="155"/>
      <c r="Q142" s="155"/>
    </row>
    <row r="143" spans="1:20" s="14" customFormat="1" x14ac:dyDescent="0.2">
      <c r="A143" s="4"/>
      <c r="B143" s="621" t="str">
        <f>B52</f>
        <v>Gravel pits</v>
      </c>
      <c r="C143" s="622"/>
      <c r="D143" s="622"/>
      <c r="E143" s="44" t="s">
        <v>64</v>
      </c>
      <c r="F143" s="239">
        <f t="shared" si="29"/>
        <v>0</v>
      </c>
      <c r="G143" s="239">
        <f t="shared" si="29"/>
        <v>0</v>
      </c>
      <c r="H143" s="239">
        <f t="shared" si="29"/>
        <v>0</v>
      </c>
      <c r="I143" s="239">
        <f t="shared" si="29"/>
        <v>0</v>
      </c>
      <c r="J143" s="240">
        <f t="shared" si="29"/>
        <v>0</v>
      </c>
      <c r="K143" s="485"/>
      <c r="L143" s="4"/>
      <c r="M143" s="4"/>
      <c r="N143" s="155"/>
      <c r="O143" s="155"/>
      <c r="P143" s="155"/>
      <c r="Q143" s="155"/>
    </row>
    <row r="144" spans="1:20" s="14" customFormat="1" x14ac:dyDescent="0.2">
      <c r="A144" s="4"/>
      <c r="B144" s="621" t="str">
        <f>B56</f>
        <v>Well pad</v>
      </c>
      <c r="C144" s="622"/>
      <c r="D144" s="622"/>
      <c r="E144" s="44" t="s">
        <v>64</v>
      </c>
      <c r="F144" s="239">
        <f t="shared" si="29"/>
        <v>0</v>
      </c>
      <c r="G144" s="239">
        <f t="shared" si="29"/>
        <v>0</v>
      </c>
      <c r="H144" s="239">
        <f t="shared" si="29"/>
        <v>0</v>
      </c>
      <c r="I144" s="239">
        <f t="shared" si="29"/>
        <v>0</v>
      </c>
      <c r="J144" s="240">
        <f t="shared" si="29"/>
        <v>0</v>
      </c>
      <c r="K144" s="48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29"/>
        <v>0</v>
      </c>
      <c r="G145" s="239">
        <f t="shared" si="29"/>
        <v>0</v>
      </c>
      <c r="H145" s="239">
        <f t="shared" si="29"/>
        <v>0</v>
      </c>
      <c r="I145" s="239">
        <f t="shared" si="29"/>
        <v>0</v>
      </c>
      <c r="J145" s="240">
        <f t="shared" si="29"/>
        <v>0</v>
      </c>
      <c r="K145" s="485"/>
      <c r="L145" s="4"/>
      <c r="M145" s="4"/>
      <c r="N145" s="155"/>
      <c r="O145" s="155"/>
      <c r="P145" s="155"/>
      <c r="Q145" s="155"/>
    </row>
    <row r="146" spans="1:17" s="14" customFormat="1" x14ac:dyDescent="0.2">
      <c r="A146" s="4"/>
      <c r="B146" s="623" t="str">
        <f>CONCATENATE(B63," - ",C63)</f>
        <v>Camp - No seeding</v>
      </c>
      <c r="C146" s="624"/>
      <c r="D146" s="625"/>
      <c r="E146" s="44" t="s">
        <v>64</v>
      </c>
      <c r="F146" s="239">
        <f t="shared" si="29"/>
        <v>0</v>
      </c>
      <c r="G146" s="239">
        <f t="shared" si="29"/>
        <v>0</v>
      </c>
      <c r="H146" s="239">
        <f t="shared" si="29"/>
        <v>0</v>
      </c>
      <c r="I146" s="239">
        <f t="shared" si="29"/>
        <v>0</v>
      </c>
      <c r="J146" s="240">
        <f t="shared" si="29"/>
        <v>0</v>
      </c>
      <c r="K146" s="48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29"/>
        <v>0</v>
      </c>
      <c r="G147" s="239">
        <f t="shared" si="29"/>
        <v>0</v>
      </c>
      <c r="H147" s="239">
        <f t="shared" si="29"/>
        <v>0</v>
      </c>
      <c r="I147" s="239">
        <f t="shared" si="29"/>
        <v>0</v>
      </c>
      <c r="J147" s="240">
        <f t="shared" si="29"/>
        <v>0</v>
      </c>
      <c r="K147" s="48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29"/>
        <v>0</v>
      </c>
      <c r="G148" s="239">
        <f t="shared" si="29"/>
        <v>0</v>
      </c>
      <c r="H148" s="239">
        <f t="shared" si="29"/>
        <v>0</v>
      </c>
      <c r="I148" s="239">
        <f t="shared" si="29"/>
        <v>0</v>
      </c>
      <c r="J148" s="240">
        <f t="shared" si="29"/>
        <v>0</v>
      </c>
      <c r="K148" s="485"/>
      <c r="L148" s="4"/>
      <c r="M148" s="4"/>
      <c r="N148" s="155"/>
      <c r="O148" s="155"/>
      <c r="P148" s="155"/>
      <c r="Q148" s="155"/>
    </row>
    <row r="149" spans="1:17" s="14" customFormat="1" x14ac:dyDescent="0.2">
      <c r="A149" s="4"/>
      <c r="B149" s="623" t="str">
        <f>B77</f>
        <v>Fencing</v>
      </c>
      <c r="C149" s="624"/>
      <c r="D149" s="625"/>
      <c r="E149" s="44" t="s">
        <v>79</v>
      </c>
      <c r="F149" s="239">
        <f t="shared" si="29"/>
        <v>0</v>
      </c>
      <c r="G149" s="239">
        <f t="shared" si="29"/>
        <v>0</v>
      </c>
      <c r="H149" s="239">
        <f t="shared" si="29"/>
        <v>0</v>
      </c>
      <c r="I149" s="239">
        <f t="shared" si="29"/>
        <v>0</v>
      </c>
      <c r="J149" s="240">
        <f t="shared" si="29"/>
        <v>0</v>
      </c>
      <c r="K149" s="485"/>
      <c r="L149" s="4"/>
      <c r="M149" s="4"/>
      <c r="N149" s="155"/>
      <c r="O149" s="155"/>
      <c r="P149" s="155"/>
      <c r="Q149" s="155"/>
    </row>
    <row r="150" spans="1:17" s="14" customFormat="1" x14ac:dyDescent="0.2">
      <c r="A150" s="4"/>
      <c r="B150" s="638" t="str">
        <f>B78</f>
        <v>Groundwater bore &lt; 70m TVD</v>
      </c>
      <c r="C150" s="639"/>
      <c r="D150" s="640"/>
      <c r="E150" s="44" t="s">
        <v>82</v>
      </c>
      <c r="F150" s="239">
        <f t="shared" si="29"/>
        <v>0</v>
      </c>
      <c r="G150" s="239">
        <f t="shared" si="29"/>
        <v>0</v>
      </c>
      <c r="H150" s="239">
        <f t="shared" si="29"/>
        <v>0</v>
      </c>
      <c r="I150" s="239">
        <f t="shared" si="29"/>
        <v>0</v>
      </c>
      <c r="J150" s="240">
        <f t="shared" si="29"/>
        <v>0</v>
      </c>
      <c r="K150" s="485"/>
      <c r="L150" s="4"/>
      <c r="M150" s="4"/>
      <c r="N150" s="155"/>
      <c r="O150" s="155"/>
      <c r="P150" s="155"/>
      <c r="Q150" s="155"/>
    </row>
    <row r="151" spans="1:17" s="14" customFormat="1" x14ac:dyDescent="0.2">
      <c r="A151" s="4"/>
      <c r="B151" s="623" t="str">
        <f>B79</f>
        <v>Groundwater bore ≥ 70m TVD</v>
      </c>
      <c r="C151" s="624"/>
      <c r="D151" s="625"/>
      <c r="E151" s="44" t="s">
        <v>82</v>
      </c>
      <c r="F151" s="239">
        <f t="shared" si="29"/>
        <v>0</v>
      </c>
      <c r="G151" s="239">
        <f t="shared" si="29"/>
        <v>0</v>
      </c>
      <c r="H151" s="239">
        <f t="shared" si="29"/>
        <v>0</v>
      </c>
      <c r="I151" s="239">
        <f t="shared" si="29"/>
        <v>0</v>
      </c>
      <c r="J151" s="240">
        <f t="shared" si="29"/>
        <v>0</v>
      </c>
      <c r="K151" s="485"/>
      <c r="L151" s="4"/>
      <c r="M151" s="4"/>
      <c r="N151" s="155"/>
      <c r="O151" s="155"/>
      <c r="P151" s="155"/>
      <c r="Q151" s="155"/>
    </row>
    <row r="152" spans="1:17" s="14" customFormat="1" x14ac:dyDescent="0.2">
      <c r="A152" s="4"/>
      <c r="B152" s="621" t="str">
        <f>B80</f>
        <v>Drill sump liners</v>
      </c>
      <c r="C152" s="622"/>
      <c r="D152" s="622"/>
      <c r="E152" s="44" t="s">
        <v>82</v>
      </c>
      <c r="F152" s="239">
        <f t="shared" si="29"/>
        <v>0</v>
      </c>
      <c r="G152" s="239">
        <f t="shared" si="29"/>
        <v>0</v>
      </c>
      <c r="H152" s="239">
        <f t="shared" si="29"/>
        <v>0</v>
      </c>
      <c r="I152" s="239">
        <f t="shared" si="29"/>
        <v>0</v>
      </c>
      <c r="J152" s="240">
        <f t="shared" si="29"/>
        <v>0</v>
      </c>
      <c r="K152" s="485"/>
      <c r="L152" s="4"/>
      <c r="M152" s="4"/>
      <c r="N152" s="155"/>
      <c r="O152" s="155"/>
      <c r="P152" s="155"/>
      <c r="Q152" s="155"/>
    </row>
    <row r="153" spans="1:17" s="14" customFormat="1" ht="15.75" x14ac:dyDescent="0.2">
      <c r="A153" s="4"/>
      <c r="B153" s="623" t="str">
        <f>B81</f>
        <v>Drill sump</v>
      </c>
      <c r="C153" s="624"/>
      <c r="D153" s="624"/>
      <c r="E153" s="44" t="s">
        <v>133</v>
      </c>
      <c r="F153" s="239">
        <f t="shared" si="29"/>
        <v>0</v>
      </c>
      <c r="G153" s="239">
        <f t="shared" si="29"/>
        <v>0</v>
      </c>
      <c r="H153" s="239">
        <f t="shared" si="29"/>
        <v>0</v>
      </c>
      <c r="I153" s="239">
        <f t="shared" si="29"/>
        <v>0</v>
      </c>
      <c r="J153" s="240">
        <f t="shared" si="29"/>
        <v>0</v>
      </c>
      <c r="K153" s="485"/>
      <c r="L153" s="4"/>
      <c r="M153" s="4"/>
      <c r="N153" s="155"/>
      <c r="O153" s="155"/>
      <c r="P153" s="155"/>
      <c r="Q153" s="155"/>
    </row>
    <row r="154" spans="1:17" s="14" customFormat="1" ht="15.75" x14ac:dyDescent="0.2">
      <c r="A154" s="4"/>
      <c r="B154" s="621" t="str">
        <f>B86</f>
        <v>Flare pit</v>
      </c>
      <c r="C154" s="622"/>
      <c r="D154" s="622"/>
      <c r="E154" s="44" t="s">
        <v>133</v>
      </c>
      <c r="F154" s="239">
        <f t="shared" si="29"/>
        <v>0</v>
      </c>
      <c r="G154" s="239">
        <f t="shared" si="29"/>
        <v>0</v>
      </c>
      <c r="H154" s="239">
        <f t="shared" si="29"/>
        <v>0</v>
      </c>
      <c r="I154" s="239">
        <f t="shared" si="29"/>
        <v>0</v>
      </c>
      <c r="J154" s="240">
        <f t="shared" si="29"/>
        <v>0</v>
      </c>
      <c r="K154" s="485"/>
      <c r="L154" s="4"/>
      <c r="M154" s="4"/>
      <c r="N154" s="155"/>
      <c r="O154" s="155"/>
      <c r="P154" s="155"/>
      <c r="Q154" s="155"/>
    </row>
    <row r="155" spans="1:17" s="14" customFormat="1" x14ac:dyDescent="0.2">
      <c r="A155" s="4"/>
      <c r="B155" s="621" t="str">
        <f>B91</f>
        <v>Wastewater tank</v>
      </c>
      <c r="C155" s="622"/>
      <c r="D155" s="622"/>
      <c r="E155" s="44" t="s">
        <v>82</v>
      </c>
      <c r="F155" s="239">
        <f t="shared" si="29"/>
        <v>0</v>
      </c>
      <c r="G155" s="239">
        <f t="shared" si="29"/>
        <v>0</v>
      </c>
      <c r="H155" s="239">
        <f t="shared" si="29"/>
        <v>0</v>
      </c>
      <c r="I155" s="239">
        <f t="shared" si="29"/>
        <v>0</v>
      </c>
      <c r="J155" s="240">
        <f t="shared" si="29"/>
        <v>0</v>
      </c>
      <c r="K155" s="485"/>
      <c r="L155" s="4"/>
      <c r="M155" s="4"/>
      <c r="N155" s="155"/>
      <c r="O155" s="155"/>
      <c r="P155" s="155"/>
      <c r="Q155" s="155"/>
    </row>
    <row r="156" spans="1:17" s="14" customFormat="1" x14ac:dyDescent="0.2">
      <c r="A156" s="4"/>
      <c r="B156" s="621" t="str">
        <f>B92</f>
        <v>Wastewater treatment plant (camp)</v>
      </c>
      <c r="C156" s="622"/>
      <c r="D156" s="622"/>
      <c r="E156" s="44" t="s">
        <v>82</v>
      </c>
      <c r="F156" s="239">
        <f t="shared" si="29"/>
        <v>0</v>
      </c>
      <c r="G156" s="239">
        <f t="shared" si="29"/>
        <v>0</v>
      </c>
      <c r="H156" s="239">
        <f t="shared" si="29"/>
        <v>0</v>
      </c>
      <c r="I156" s="239">
        <f t="shared" si="29"/>
        <v>0</v>
      </c>
      <c r="J156" s="240">
        <f t="shared" si="29"/>
        <v>0</v>
      </c>
      <c r="K156" s="485"/>
      <c r="L156" s="4"/>
      <c r="M156" s="4"/>
      <c r="N156" s="155"/>
      <c r="O156" s="155"/>
      <c r="P156" s="155"/>
      <c r="Q156" s="155"/>
    </row>
    <row r="157" spans="1:17" s="14" customFormat="1" ht="15.75" x14ac:dyDescent="0.2">
      <c r="A157" s="4"/>
      <c r="B157" s="621" t="str">
        <f>B93</f>
        <v>Turkey's nest</v>
      </c>
      <c r="C157" s="622"/>
      <c r="D157" s="622"/>
      <c r="E157" s="44" t="s">
        <v>133</v>
      </c>
      <c r="F157" s="239">
        <f t="shared" si="29"/>
        <v>0</v>
      </c>
      <c r="G157" s="239">
        <f t="shared" si="29"/>
        <v>0</v>
      </c>
      <c r="H157" s="239">
        <f t="shared" si="29"/>
        <v>0</v>
      </c>
      <c r="I157" s="239">
        <f t="shared" si="29"/>
        <v>0</v>
      </c>
      <c r="J157" s="240">
        <f t="shared" si="29"/>
        <v>0</v>
      </c>
      <c r="K157" s="485"/>
      <c r="L157" s="4"/>
      <c r="M157" s="4"/>
      <c r="N157" s="155"/>
      <c r="O157" s="155"/>
      <c r="P157" s="155"/>
      <c r="Q157" s="155"/>
    </row>
    <row r="158" spans="1:17" s="14" customFormat="1" x14ac:dyDescent="0.2">
      <c r="A158" s="4"/>
      <c r="B158" s="621" t="str">
        <f>B98</f>
        <v>Camp capacity</v>
      </c>
      <c r="C158" s="622"/>
      <c r="D158" s="622"/>
      <c r="E158" s="44" t="s">
        <v>82</v>
      </c>
      <c r="F158" s="239">
        <f t="shared" si="29"/>
        <v>0</v>
      </c>
      <c r="G158" s="239">
        <f t="shared" si="29"/>
        <v>0</v>
      </c>
      <c r="H158" s="239">
        <f t="shared" si="29"/>
        <v>0</v>
      </c>
      <c r="I158" s="239">
        <f t="shared" si="29"/>
        <v>0</v>
      </c>
      <c r="J158" s="240">
        <f t="shared" si="29"/>
        <v>0</v>
      </c>
      <c r="K158" s="48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29"/>
        <v>0</v>
      </c>
      <c r="G159" s="239">
        <f t="shared" si="29"/>
        <v>0</v>
      </c>
      <c r="H159" s="239">
        <f t="shared" si="29"/>
        <v>0</v>
      </c>
      <c r="I159" s="239">
        <f t="shared" si="29"/>
        <v>0</v>
      </c>
      <c r="J159" s="240">
        <f t="shared" si="29"/>
        <v>0</v>
      </c>
      <c r="K159" s="48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29"/>
        <v>0</v>
      </c>
      <c r="G160" s="239">
        <f t="shared" si="29"/>
        <v>0</v>
      </c>
      <c r="H160" s="239">
        <f t="shared" si="29"/>
        <v>0</v>
      </c>
      <c r="I160" s="239">
        <f t="shared" si="29"/>
        <v>0</v>
      </c>
      <c r="J160" s="240">
        <f t="shared" si="29"/>
        <v>0</v>
      </c>
      <c r="K160" s="485"/>
      <c r="L160" s="4"/>
      <c r="M160" s="4"/>
      <c r="N160" s="155"/>
      <c r="O160" s="155"/>
      <c r="P160" s="155"/>
      <c r="Q160" s="155"/>
    </row>
    <row r="161" spans="1:18" s="14" customFormat="1" x14ac:dyDescent="0.2">
      <c r="A161" s="4"/>
      <c r="B161" s="621" t="str">
        <f>B104</f>
        <v>General waste</v>
      </c>
      <c r="C161" s="622"/>
      <c r="D161" s="622"/>
      <c r="E161" s="44" t="s">
        <v>177</v>
      </c>
      <c r="F161" s="239">
        <f t="shared" si="29"/>
        <v>0</v>
      </c>
      <c r="G161" s="239">
        <f t="shared" si="29"/>
        <v>0</v>
      </c>
      <c r="H161" s="239">
        <f t="shared" si="29"/>
        <v>0</v>
      </c>
      <c r="I161" s="239">
        <f t="shared" si="29"/>
        <v>0</v>
      </c>
      <c r="J161" s="240">
        <f t="shared" si="29"/>
        <v>0</v>
      </c>
      <c r="K161" s="485"/>
      <c r="L161" s="4"/>
      <c r="M161" s="4"/>
      <c r="N161" s="155"/>
      <c r="O161" s="155"/>
      <c r="P161" s="155"/>
      <c r="Q161" s="155"/>
    </row>
    <row r="162" spans="1:18" s="14" customFormat="1" x14ac:dyDescent="0.2">
      <c r="A162" s="4"/>
      <c r="B162" s="621" t="str">
        <f>B105</f>
        <v>Listed waste</v>
      </c>
      <c r="C162" s="622"/>
      <c r="D162" s="622"/>
      <c r="E162" s="44" t="s">
        <v>177</v>
      </c>
      <c r="F162" s="239">
        <f t="shared" si="29"/>
        <v>0</v>
      </c>
      <c r="G162" s="239">
        <f t="shared" si="29"/>
        <v>0</v>
      </c>
      <c r="H162" s="239">
        <f t="shared" si="29"/>
        <v>0</v>
      </c>
      <c r="I162" s="239">
        <f t="shared" si="29"/>
        <v>0</v>
      </c>
      <c r="J162" s="240">
        <f t="shared" si="29"/>
        <v>0</v>
      </c>
      <c r="K162" s="48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29"/>
        <v>0</v>
      </c>
      <c r="G163" s="239">
        <f t="shared" si="29"/>
        <v>0</v>
      </c>
      <c r="H163" s="239">
        <f t="shared" si="29"/>
        <v>0</v>
      </c>
      <c r="I163" s="239">
        <f t="shared" si="29"/>
        <v>0</v>
      </c>
      <c r="J163" s="240">
        <f t="shared" si="29"/>
        <v>0</v>
      </c>
      <c r="K163" s="485"/>
      <c r="L163" s="4"/>
      <c r="M163" s="4"/>
      <c r="N163" s="155"/>
      <c r="O163" s="155"/>
      <c r="P163" s="155"/>
      <c r="Q163" s="155"/>
    </row>
    <row r="164" spans="1:18" s="14" customFormat="1" x14ac:dyDescent="0.2">
      <c r="A164" s="4"/>
      <c r="B164" s="621" t="str">
        <f>B107</f>
        <v>Hydraulic Fracking Fluid</v>
      </c>
      <c r="C164" s="622"/>
      <c r="D164" s="622"/>
      <c r="E164" s="44" t="s">
        <v>181</v>
      </c>
      <c r="F164" s="239">
        <f t="shared" si="29"/>
        <v>0</v>
      </c>
      <c r="G164" s="239">
        <f t="shared" si="29"/>
        <v>0</v>
      </c>
      <c r="H164" s="239">
        <f t="shared" si="29"/>
        <v>0</v>
      </c>
      <c r="I164" s="239">
        <f t="shared" si="29"/>
        <v>0</v>
      </c>
      <c r="J164" s="240">
        <f t="shared" si="29"/>
        <v>0</v>
      </c>
      <c r="K164" s="48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29"/>
        <v>0</v>
      </c>
      <c r="G165" s="239">
        <f t="shared" si="29"/>
        <v>0</v>
      </c>
      <c r="H165" s="239">
        <f t="shared" si="29"/>
        <v>0</v>
      </c>
      <c r="I165" s="239">
        <f t="shared" si="29"/>
        <v>0</v>
      </c>
      <c r="J165" s="240">
        <f t="shared" si="29"/>
        <v>0</v>
      </c>
      <c r="K165" s="48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29"/>
        <v>0</v>
      </c>
      <c r="G166" s="239">
        <f t="shared" si="29"/>
        <v>0</v>
      </c>
      <c r="H166" s="239">
        <f t="shared" si="29"/>
        <v>0</v>
      </c>
      <c r="I166" s="239">
        <f t="shared" si="29"/>
        <v>0</v>
      </c>
      <c r="J166" s="240">
        <f t="shared" si="29"/>
        <v>0</v>
      </c>
      <c r="K166" s="48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29"/>
        <v>0</v>
      </c>
      <c r="G167" s="239">
        <f t="shared" si="29"/>
        <v>0</v>
      </c>
      <c r="H167" s="239">
        <f t="shared" si="29"/>
        <v>0</v>
      </c>
      <c r="I167" s="239">
        <f t="shared" si="29"/>
        <v>0</v>
      </c>
      <c r="J167" s="240">
        <f t="shared" si="29"/>
        <v>0</v>
      </c>
      <c r="K167" s="48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29"/>
        <v>0</v>
      </c>
      <c r="G168" s="239">
        <f t="shared" si="29"/>
        <v>0</v>
      </c>
      <c r="H168" s="239">
        <f t="shared" si="29"/>
        <v>0</v>
      </c>
      <c r="I168" s="239">
        <f t="shared" si="29"/>
        <v>0</v>
      </c>
      <c r="J168" s="240">
        <f t="shared" si="29"/>
        <v>0</v>
      </c>
      <c r="K168" s="48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29"/>
        <v>0</v>
      </c>
      <c r="G169" s="499">
        <f t="shared" si="29"/>
        <v>0</v>
      </c>
      <c r="H169" s="499">
        <f t="shared" si="29"/>
        <v>0</v>
      </c>
      <c r="I169" s="499">
        <f t="shared" si="29"/>
        <v>0</v>
      </c>
      <c r="J169" s="500">
        <f t="shared" si="29"/>
        <v>0</v>
      </c>
      <c r="K169" s="485"/>
      <c r="L169" s="4"/>
      <c r="M169" s="4"/>
      <c r="N169" s="155"/>
      <c r="O169" s="155"/>
      <c r="P169" s="155"/>
      <c r="Q169" s="155"/>
    </row>
    <row r="170" spans="1:18" x14ac:dyDescent="0.2">
      <c r="B170" s="32"/>
      <c r="O170" s="5"/>
      <c r="P170" s="5"/>
    </row>
    <row r="171" spans="1:18" ht="15" thickBot="1" x14ac:dyDescent="0.25">
      <c r="B171" s="207" t="str">
        <f ca="1">"Table "&amp;$N$9&amp;".4 Summary of security value by disturbance activity"</f>
        <v>Table 5.4 Summary of security value by disturbance activity</v>
      </c>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8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485"/>
      <c r="L173" s="4"/>
      <c r="M173" s="4"/>
    </row>
    <row r="174" spans="1:18" s="14" customFormat="1" x14ac:dyDescent="0.2">
      <c r="A174" s="4"/>
      <c r="B174" s="129" t="s">
        <v>23</v>
      </c>
      <c r="C174" s="619" t="str">
        <f t="shared" ref="C174:C209" si="30">B134</f>
        <v>Flowline right of ways - By track</v>
      </c>
      <c r="D174" s="620"/>
      <c r="E174" s="246">
        <f>SUMIF('Unit Rates'!J:J,$C174,'Unit Rates'!F:F)</f>
        <v>1242</v>
      </c>
      <c r="F174" s="243">
        <f t="shared" ref="F174:J189" si="31">$E174*F134</f>
        <v>0</v>
      </c>
      <c r="G174" s="243">
        <f t="shared" si="31"/>
        <v>0</v>
      </c>
      <c r="H174" s="243">
        <f t="shared" si="31"/>
        <v>0</v>
      </c>
      <c r="I174" s="243">
        <f t="shared" si="31"/>
        <v>0</v>
      </c>
      <c r="J174" s="244">
        <f t="shared" si="31"/>
        <v>0</v>
      </c>
      <c r="K174" s="485"/>
      <c r="L174" s="4"/>
      <c r="M174" s="4"/>
    </row>
    <row r="175" spans="1:18" s="14" customFormat="1" x14ac:dyDescent="0.2">
      <c r="A175" s="4"/>
      <c r="B175" s="129" t="s">
        <v>23</v>
      </c>
      <c r="C175" s="619" t="str">
        <f t="shared" si="30"/>
        <v>Flowline right of ways - Not by track</v>
      </c>
      <c r="D175" s="620"/>
      <c r="E175" s="246">
        <f>SUMIF('Unit Rates'!J:J,$C175,'Unit Rates'!F:F)</f>
        <v>2484</v>
      </c>
      <c r="F175" s="243">
        <f t="shared" si="31"/>
        <v>0</v>
      </c>
      <c r="G175" s="243">
        <f t="shared" si="31"/>
        <v>0</v>
      </c>
      <c r="H175" s="243">
        <f t="shared" si="31"/>
        <v>0</v>
      </c>
      <c r="I175" s="243">
        <f t="shared" si="31"/>
        <v>0</v>
      </c>
      <c r="J175" s="244">
        <f t="shared" si="31"/>
        <v>0</v>
      </c>
      <c r="K175" s="485"/>
      <c r="L175" s="4"/>
      <c r="M175" s="4"/>
    </row>
    <row r="176" spans="1:18" s="14" customFormat="1" x14ac:dyDescent="0.2">
      <c r="A176" s="4"/>
      <c r="B176" s="129" t="s">
        <v>23</v>
      </c>
      <c r="C176" s="619" t="str">
        <f t="shared" si="30"/>
        <v>Access track (existing)</v>
      </c>
      <c r="D176" s="620"/>
      <c r="E176" s="246">
        <f>SUMIF('Unit Rates'!J:J,$C176,'Unit Rates'!F:F)</f>
        <v>4553</v>
      </c>
      <c r="F176" s="243">
        <f t="shared" si="31"/>
        <v>0</v>
      </c>
      <c r="G176" s="243">
        <f t="shared" si="31"/>
        <v>0</v>
      </c>
      <c r="H176" s="243">
        <f t="shared" si="31"/>
        <v>0</v>
      </c>
      <c r="I176" s="243">
        <f t="shared" si="31"/>
        <v>0</v>
      </c>
      <c r="J176" s="244">
        <f t="shared" si="31"/>
        <v>0</v>
      </c>
      <c r="K176" s="485"/>
      <c r="L176" s="4"/>
      <c r="M176" s="4"/>
      <c r="N176" s="155"/>
      <c r="Q176" s="155"/>
      <c r="R176" s="155"/>
    </row>
    <row r="177" spans="1:20" s="14" customFormat="1" x14ac:dyDescent="0.2">
      <c r="A177" s="4"/>
      <c r="B177" s="129" t="s">
        <v>23</v>
      </c>
      <c r="C177" s="619" t="str">
        <f t="shared" si="30"/>
        <v>Access track (new) - No seeding</v>
      </c>
      <c r="D177" s="620"/>
      <c r="E177" s="246">
        <f>SUMIF('Unit Rates'!J:J,$C177,'Unit Rates'!F:F)</f>
        <v>3133</v>
      </c>
      <c r="F177" s="243">
        <f t="shared" si="31"/>
        <v>0</v>
      </c>
      <c r="G177" s="243">
        <f t="shared" si="31"/>
        <v>0</v>
      </c>
      <c r="H177" s="243">
        <f t="shared" si="31"/>
        <v>0</v>
      </c>
      <c r="I177" s="243">
        <f t="shared" si="31"/>
        <v>0</v>
      </c>
      <c r="J177" s="244">
        <f t="shared" si="31"/>
        <v>0</v>
      </c>
      <c r="K177" s="485"/>
      <c r="L177" s="4"/>
      <c r="M177" s="4"/>
      <c r="N177" s="155"/>
      <c r="Q177" s="155"/>
    </row>
    <row r="178" spans="1:20" s="14" customFormat="1" x14ac:dyDescent="0.2">
      <c r="A178" s="4"/>
      <c r="B178" s="129" t="s">
        <v>23</v>
      </c>
      <c r="C178" s="619" t="str">
        <f t="shared" si="30"/>
        <v>Access track (new) - With seeding</v>
      </c>
      <c r="D178" s="620"/>
      <c r="E178" s="246">
        <f>SUMIF('Unit Rates'!J:J,$C178,'Unit Rates'!F:F)</f>
        <v>3942</v>
      </c>
      <c r="F178" s="243">
        <f t="shared" si="31"/>
        <v>0</v>
      </c>
      <c r="G178" s="243">
        <f t="shared" si="31"/>
        <v>0</v>
      </c>
      <c r="H178" s="243">
        <f t="shared" si="31"/>
        <v>0</v>
      </c>
      <c r="I178" s="243">
        <f t="shared" si="31"/>
        <v>0</v>
      </c>
      <c r="J178" s="244">
        <f t="shared" si="31"/>
        <v>0</v>
      </c>
      <c r="K178" s="485"/>
      <c r="L178" s="4"/>
      <c r="M178" s="4"/>
      <c r="N178" s="155"/>
      <c r="Q178" s="155"/>
    </row>
    <row r="179" spans="1:20" s="14" customFormat="1" x14ac:dyDescent="0.2">
      <c r="A179" s="4"/>
      <c r="B179" s="129" t="s">
        <v>23</v>
      </c>
      <c r="C179" s="619" t="str">
        <f t="shared" si="30"/>
        <v>Laydown areas - With seeding, with ripping</v>
      </c>
      <c r="D179" s="620"/>
      <c r="E179" s="246">
        <f>SUMIF('Unit Rates'!J:J,$C179,'Unit Rates'!F:F)</f>
        <v>2879</v>
      </c>
      <c r="F179" s="243">
        <f t="shared" si="31"/>
        <v>0</v>
      </c>
      <c r="G179" s="243">
        <f t="shared" si="31"/>
        <v>0</v>
      </c>
      <c r="H179" s="243">
        <f t="shared" si="31"/>
        <v>0</v>
      </c>
      <c r="I179" s="243">
        <f t="shared" si="31"/>
        <v>0</v>
      </c>
      <c r="J179" s="244">
        <f t="shared" si="31"/>
        <v>0</v>
      </c>
      <c r="K179" s="485"/>
      <c r="L179" s="4"/>
      <c r="M179" s="4"/>
      <c r="N179" s="155"/>
      <c r="Q179" s="155"/>
    </row>
    <row r="180" spans="1:20" s="14" customFormat="1" x14ac:dyDescent="0.2">
      <c r="A180" s="4"/>
      <c r="B180" s="129" t="s">
        <v>23</v>
      </c>
      <c r="C180" s="619" t="str">
        <f t="shared" si="30"/>
        <v>Laydown areas - With seeding, no ripping</v>
      </c>
      <c r="D180" s="620"/>
      <c r="E180" s="246">
        <f>SUMIF('Unit Rates'!J:J,$C180,'Unit Rates'!F:F)</f>
        <v>2379</v>
      </c>
      <c r="F180" s="243">
        <f t="shared" si="31"/>
        <v>0</v>
      </c>
      <c r="G180" s="243">
        <f t="shared" si="31"/>
        <v>0</v>
      </c>
      <c r="H180" s="243">
        <f t="shared" si="31"/>
        <v>0</v>
      </c>
      <c r="I180" s="243">
        <f t="shared" si="31"/>
        <v>0</v>
      </c>
      <c r="J180" s="244">
        <f t="shared" si="31"/>
        <v>0</v>
      </c>
      <c r="K180" s="485"/>
      <c r="L180" s="4"/>
    </row>
    <row r="181" spans="1:20" s="14" customFormat="1" x14ac:dyDescent="0.2">
      <c r="A181" s="4"/>
      <c r="B181" s="129" t="s">
        <v>23</v>
      </c>
      <c r="C181" s="619" t="str">
        <f t="shared" si="30"/>
        <v>Laydown areas - No seeding, with ripping</v>
      </c>
      <c r="D181" s="620"/>
      <c r="E181" s="246">
        <f>SUMIF('Unit Rates'!J:J,$C181,'Unit Rates'!F:F)</f>
        <v>2070</v>
      </c>
      <c r="F181" s="243">
        <f t="shared" si="31"/>
        <v>0</v>
      </c>
      <c r="G181" s="243">
        <f t="shared" si="31"/>
        <v>0</v>
      </c>
      <c r="H181" s="243">
        <f t="shared" si="31"/>
        <v>0</v>
      </c>
      <c r="I181" s="243">
        <f t="shared" si="31"/>
        <v>0</v>
      </c>
      <c r="J181" s="244">
        <f t="shared" si="31"/>
        <v>0</v>
      </c>
      <c r="K181" s="485"/>
      <c r="L181" s="4"/>
    </row>
    <row r="182" spans="1:20" s="14" customFormat="1" x14ac:dyDescent="0.2">
      <c r="A182" s="4"/>
      <c r="B182" s="129" t="s">
        <v>23</v>
      </c>
      <c r="C182" s="619" t="str">
        <f t="shared" si="30"/>
        <v>Laydown areas - No seeding, no ripping</v>
      </c>
      <c r="D182" s="620"/>
      <c r="E182" s="246">
        <f>SUMIF('Unit Rates'!J:J,$C182,'Unit Rates'!F:F)</f>
        <v>1570</v>
      </c>
      <c r="F182" s="243">
        <f t="shared" si="31"/>
        <v>0</v>
      </c>
      <c r="G182" s="243">
        <f t="shared" si="31"/>
        <v>0</v>
      </c>
      <c r="H182" s="243">
        <f t="shared" si="31"/>
        <v>0</v>
      </c>
      <c r="I182" s="243">
        <f t="shared" si="31"/>
        <v>0</v>
      </c>
      <c r="J182" s="244">
        <f t="shared" si="31"/>
        <v>0</v>
      </c>
      <c r="K182" s="485"/>
      <c r="L182" s="4"/>
    </row>
    <row r="183" spans="1:20" s="14" customFormat="1" x14ac:dyDescent="0.2">
      <c r="A183" s="4"/>
      <c r="B183" s="40" t="s">
        <v>23</v>
      </c>
      <c r="C183" s="619" t="str">
        <f t="shared" si="30"/>
        <v>Gravel pits</v>
      </c>
      <c r="D183" s="620"/>
      <c r="E183" s="246">
        <f>SUMIF('Unit Rates'!J:J,$C183,'Unit Rates'!F:F)</f>
        <v>3076.67</v>
      </c>
      <c r="F183" s="243">
        <f t="shared" si="31"/>
        <v>0</v>
      </c>
      <c r="G183" s="243">
        <f t="shared" si="31"/>
        <v>0</v>
      </c>
      <c r="H183" s="243">
        <f t="shared" si="31"/>
        <v>0</v>
      </c>
      <c r="I183" s="243">
        <f t="shared" si="31"/>
        <v>0</v>
      </c>
      <c r="J183" s="244">
        <f t="shared" si="31"/>
        <v>0</v>
      </c>
      <c r="K183" s="485"/>
      <c r="L183" s="4"/>
    </row>
    <row r="184" spans="1:20" s="14" customFormat="1" x14ac:dyDescent="0.2">
      <c r="A184" s="4"/>
      <c r="B184" s="40" t="s">
        <v>23</v>
      </c>
      <c r="C184" s="619" t="str">
        <f t="shared" si="30"/>
        <v>Well pad</v>
      </c>
      <c r="D184" s="620"/>
      <c r="E184" s="246">
        <f>SUMIF('Unit Rates'!J:J,$C184,'Unit Rates'!F:F)</f>
        <v>5785</v>
      </c>
      <c r="F184" s="243">
        <f t="shared" si="31"/>
        <v>0</v>
      </c>
      <c r="G184" s="243">
        <f t="shared" si="31"/>
        <v>0</v>
      </c>
      <c r="H184" s="243">
        <f t="shared" si="31"/>
        <v>0</v>
      </c>
      <c r="I184" s="243">
        <f t="shared" si="31"/>
        <v>0</v>
      </c>
      <c r="J184" s="244">
        <f t="shared" si="31"/>
        <v>0</v>
      </c>
      <c r="K184" s="485"/>
      <c r="L184" s="4"/>
    </row>
    <row r="185" spans="1:20" s="14" customFormat="1" x14ac:dyDescent="0.2">
      <c r="A185" s="4"/>
      <c r="B185" s="40" t="s">
        <v>23</v>
      </c>
      <c r="C185" s="619" t="str">
        <f t="shared" si="30"/>
        <v>Camp - With seeding</v>
      </c>
      <c r="D185" s="620"/>
      <c r="E185" s="246">
        <f>SUMIF('Unit Rates'!J:J,$C185,'Unit Rates'!F:F)</f>
        <v>3439</v>
      </c>
      <c r="F185" s="243">
        <f t="shared" si="31"/>
        <v>0</v>
      </c>
      <c r="G185" s="243">
        <f t="shared" si="31"/>
        <v>0</v>
      </c>
      <c r="H185" s="243">
        <f t="shared" si="31"/>
        <v>0</v>
      </c>
      <c r="I185" s="243">
        <f t="shared" si="31"/>
        <v>0</v>
      </c>
      <c r="J185" s="244">
        <f t="shared" si="31"/>
        <v>0</v>
      </c>
      <c r="K185" s="485"/>
      <c r="L185" s="4"/>
    </row>
    <row r="186" spans="1:20" s="14" customFormat="1" x14ac:dyDescent="0.2">
      <c r="A186" s="4"/>
      <c r="B186" s="40" t="s">
        <v>23</v>
      </c>
      <c r="C186" s="619" t="str">
        <f t="shared" si="30"/>
        <v>Camp - No seeding</v>
      </c>
      <c r="D186" s="620"/>
      <c r="E186" s="246">
        <f>SUMIF('Unit Rates'!J:J,$C186,'Unit Rates'!F:F)</f>
        <v>2630</v>
      </c>
      <c r="F186" s="243">
        <f t="shared" si="31"/>
        <v>0</v>
      </c>
      <c r="G186" s="243">
        <f t="shared" si="31"/>
        <v>0</v>
      </c>
      <c r="H186" s="243">
        <f t="shared" si="31"/>
        <v>0</v>
      </c>
      <c r="I186" s="243">
        <f t="shared" si="31"/>
        <v>0</v>
      </c>
      <c r="J186" s="244">
        <f t="shared" si="31"/>
        <v>0</v>
      </c>
      <c r="K186" s="485"/>
      <c r="L186" s="4"/>
      <c r="M186" s="4"/>
      <c r="N186" s="4"/>
      <c r="O186" s="4"/>
      <c r="P186" s="4"/>
      <c r="Q186" s="4"/>
      <c r="R186" s="4"/>
      <c r="S186" s="4"/>
      <c r="T186" s="4"/>
    </row>
    <row r="187" spans="1:20" s="14" customFormat="1" x14ac:dyDescent="0.2">
      <c r="A187" s="4"/>
      <c r="B187" s="40" t="s">
        <v>23</v>
      </c>
      <c r="C187" s="619" t="str">
        <f t="shared" si="30"/>
        <v>Miscellaneous clearing - With seeding</v>
      </c>
      <c r="D187" s="620"/>
      <c r="E187" s="246">
        <f>SUMIF('Unit Rates'!J:J,$C187,'Unit Rates'!F:F)</f>
        <v>3439</v>
      </c>
      <c r="F187" s="243">
        <f t="shared" si="31"/>
        <v>0</v>
      </c>
      <c r="G187" s="243">
        <f t="shared" si="31"/>
        <v>0</v>
      </c>
      <c r="H187" s="243">
        <f t="shared" si="31"/>
        <v>0</v>
      </c>
      <c r="I187" s="243">
        <f t="shared" si="31"/>
        <v>0</v>
      </c>
      <c r="J187" s="244">
        <f t="shared" si="31"/>
        <v>0</v>
      </c>
      <c r="K187" s="485"/>
      <c r="L187" s="4"/>
      <c r="M187" s="4"/>
      <c r="N187" s="4"/>
      <c r="O187" s="4"/>
      <c r="P187" s="4"/>
      <c r="Q187" s="4"/>
      <c r="R187" s="4"/>
      <c r="S187" s="4"/>
      <c r="T187" s="4"/>
    </row>
    <row r="188" spans="1:20" s="14" customFormat="1" x14ac:dyDescent="0.2">
      <c r="A188" s="4"/>
      <c r="B188" s="40" t="s">
        <v>23</v>
      </c>
      <c r="C188" s="619" t="str">
        <f t="shared" si="30"/>
        <v>Miscellaneous clearing - No seeding</v>
      </c>
      <c r="D188" s="620"/>
      <c r="E188" s="246">
        <f>SUMIF('Unit Rates'!J:J,$C188,'Unit Rates'!F:F)</f>
        <v>2630</v>
      </c>
      <c r="F188" s="243">
        <f t="shared" si="31"/>
        <v>0</v>
      </c>
      <c r="G188" s="243">
        <f t="shared" si="31"/>
        <v>0</v>
      </c>
      <c r="H188" s="243">
        <f t="shared" si="31"/>
        <v>0</v>
      </c>
      <c r="I188" s="243">
        <f t="shared" si="31"/>
        <v>0</v>
      </c>
      <c r="J188" s="244">
        <f t="shared" si="31"/>
        <v>0</v>
      </c>
      <c r="K188" s="485"/>
      <c r="L188" s="4"/>
      <c r="M188" s="4"/>
      <c r="N188" s="4"/>
      <c r="O188" s="4"/>
      <c r="P188" s="4"/>
      <c r="Q188" s="4"/>
      <c r="R188" s="4"/>
      <c r="S188" s="4"/>
      <c r="T188" s="4"/>
    </row>
    <row r="189" spans="1:20" s="14" customFormat="1" x14ac:dyDescent="0.2">
      <c r="A189" s="4"/>
      <c r="B189" s="40" t="s">
        <v>32</v>
      </c>
      <c r="C189" s="619" t="str">
        <f t="shared" si="30"/>
        <v>Fencing</v>
      </c>
      <c r="D189" s="620"/>
      <c r="E189" s="247">
        <f>SUMIF('Unit Rates'!J:J,$C189,'Unit Rates'!F:F)</f>
        <v>2.5499999999999998</v>
      </c>
      <c r="F189" s="243">
        <f t="shared" si="31"/>
        <v>0</v>
      </c>
      <c r="G189" s="243">
        <f t="shared" si="31"/>
        <v>0</v>
      </c>
      <c r="H189" s="243">
        <f t="shared" si="31"/>
        <v>0</v>
      </c>
      <c r="I189" s="243">
        <f t="shared" si="31"/>
        <v>0</v>
      </c>
      <c r="J189" s="244">
        <f t="shared" si="31"/>
        <v>0</v>
      </c>
      <c r="K189" s="485"/>
      <c r="L189" s="4"/>
      <c r="M189" s="4"/>
      <c r="N189" s="4"/>
      <c r="O189" s="4"/>
      <c r="P189" s="4"/>
      <c r="Q189" s="4"/>
      <c r="R189" s="4"/>
      <c r="S189" s="4"/>
      <c r="T189" s="4"/>
    </row>
    <row r="190" spans="1:20" s="14" customFormat="1" x14ac:dyDescent="0.2">
      <c r="A190" s="4"/>
      <c r="B190" s="40" t="s">
        <v>32</v>
      </c>
      <c r="C190" s="619" t="str">
        <f t="shared" si="30"/>
        <v>Groundwater bore &lt; 70m TVD</v>
      </c>
      <c r="D190" s="620"/>
      <c r="E190" s="246">
        <f>SUMIF('Unit Rates'!J:J,$C190,'Unit Rates'!F:F)</f>
        <v>12150</v>
      </c>
      <c r="F190" s="243">
        <f t="shared" ref="F190:J197" si="32">$E190*F150</f>
        <v>0</v>
      </c>
      <c r="G190" s="243">
        <f t="shared" si="32"/>
        <v>0</v>
      </c>
      <c r="H190" s="243">
        <f t="shared" si="32"/>
        <v>0</v>
      </c>
      <c r="I190" s="243">
        <f t="shared" si="32"/>
        <v>0</v>
      </c>
      <c r="J190" s="244">
        <f t="shared" si="32"/>
        <v>0</v>
      </c>
      <c r="K190" s="485"/>
      <c r="L190" s="4"/>
      <c r="M190" s="4"/>
      <c r="N190" s="4"/>
      <c r="O190" s="4"/>
      <c r="P190" s="4"/>
      <c r="Q190" s="4"/>
      <c r="R190" s="4"/>
      <c r="S190" s="4"/>
      <c r="T190" s="4"/>
    </row>
    <row r="191" spans="1:20" s="14" customFormat="1" x14ac:dyDescent="0.2">
      <c r="A191" s="4"/>
      <c r="B191" s="40" t="s">
        <v>32</v>
      </c>
      <c r="C191" s="619" t="str">
        <f t="shared" si="30"/>
        <v>Groundwater bore ≥ 70m TVD</v>
      </c>
      <c r="D191" s="620"/>
      <c r="E191" s="246">
        <f>SUMIF('Unit Rates'!J:J,$C191,'Unit Rates'!F:F)</f>
        <v>15150</v>
      </c>
      <c r="F191" s="243">
        <f t="shared" si="32"/>
        <v>0</v>
      </c>
      <c r="G191" s="243">
        <f t="shared" si="32"/>
        <v>0</v>
      </c>
      <c r="H191" s="243">
        <f t="shared" si="32"/>
        <v>0</v>
      </c>
      <c r="I191" s="243">
        <f t="shared" si="32"/>
        <v>0</v>
      </c>
      <c r="J191" s="244">
        <f t="shared" si="32"/>
        <v>0</v>
      </c>
      <c r="K191" s="485"/>
      <c r="L191" s="4"/>
      <c r="M191" s="4"/>
      <c r="N191" s="4"/>
      <c r="Q191" s="4"/>
      <c r="R191" s="4"/>
      <c r="S191" s="4"/>
      <c r="T191" s="4"/>
    </row>
    <row r="192" spans="1:20" s="14" customFormat="1" x14ac:dyDescent="0.2">
      <c r="A192" s="4"/>
      <c r="B192" s="40" t="s">
        <v>32</v>
      </c>
      <c r="C192" s="619" t="str">
        <f t="shared" si="30"/>
        <v>Drill sump liners</v>
      </c>
      <c r="D192" s="620"/>
      <c r="E192" s="246">
        <f>SUMIF('Unit Rates'!J:J,$C192,'Unit Rates'!F:F)</f>
        <v>5050</v>
      </c>
      <c r="F192" s="243">
        <f t="shared" si="32"/>
        <v>0</v>
      </c>
      <c r="G192" s="243">
        <f t="shared" si="32"/>
        <v>0</v>
      </c>
      <c r="H192" s="243">
        <f t="shared" si="32"/>
        <v>0</v>
      </c>
      <c r="I192" s="243">
        <f t="shared" si="32"/>
        <v>0</v>
      </c>
      <c r="J192" s="244">
        <f t="shared" si="32"/>
        <v>0</v>
      </c>
      <c r="K192" s="485"/>
      <c r="L192" s="4"/>
      <c r="M192" s="4"/>
      <c r="N192" s="423">
        <v>0</v>
      </c>
      <c r="O192" s="424" t="s">
        <v>276</v>
      </c>
      <c r="R192" s="155"/>
    </row>
    <row r="193" spans="1:25" s="14" customFormat="1" x14ac:dyDescent="0.2">
      <c r="A193" s="4"/>
      <c r="B193" s="40" t="s">
        <v>32</v>
      </c>
      <c r="C193" s="619" t="str">
        <f t="shared" si="30"/>
        <v>Drill sump</v>
      </c>
      <c r="D193" s="620"/>
      <c r="E193" s="247">
        <f>SUMIF('Unit Rates'!J:J,$C193,'Unit Rates'!F:F)</f>
        <v>2.36</v>
      </c>
      <c r="F193" s="243">
        <f t="shared" si="32"/>
        <v>0</v>
      </c>
      <c r="G193" s="243">
        <f t="shared" si="32"/>
        <v>0</v>
      </c>
      <c r="H193" s="243">
        <f t="shared" si="32"/>
        <v>0</v>
      </c>
      <c r="I193" s="243">
        <f t="shared" si="32"/>
        <v>0</v>
      </c>
      <c r="J193" s="244">
        <f t="shared" si="32"/>
        <v>0</v>
      </c>
      <c r="K193" s="485"/>
      <c r="L193" s="4"/>
      <c r="M193" s="4"/>
      <c r="N193" s="151">
        <v>1</v>
      </c>
      <c r="O193" s="152" t="s">
        <v>211</v>
      </c>
      <c r="R193" s="155"/>
    </row>
    <row r="194" spans="1:25" s="14" customFormat="1" x14ac:dyDescent="0.2">
      <c r="A194" s="4"/>
      <c r="B194" s="40" t="s">
        <v>32</v>
      </c>
      <c r="C194" s="619" t="str">
        <f t="shared" si="30"/>
        <v>Flare pit</v>
      </c>
      <c r="D194" s="620"/>
      <c r="E194" s="247">
        <f>SUMIF('Unit Rates'!J:J,$C194,'Unit Rates'!F:F)</f>
        <v>2.36</v>
      </c>
      <c r="F194" s="243">
        <f t="shared" si="32"/>
        <v>0</v>
      </c>
      <c r="G194" s="243">
        <f t="shared" si="32"/>
        <v>0</v>
      </c>
      <c r="H194" s="243">
        <f t="shared" si="32"/>
        <v>0</v>
      </c>
      <c r="I194" s="243">
        <f t="shared" si="32"/>
        <v>0</v>
      </c>
      <c r="J194" s="244">
        <f t="shared" si="32"/>
        <v>0</v>
      </c>
      <c r="K194" s="485"/>
      <c r="L194" s="4"/>
      <c r="M194" s="4"/>
      <c r="N194" s="151">
        <v>2</v>
      </c>
      <c r="O194" s="152" t="s">
        <v>212</v>
      </c>
      <c r="R194" s="155"/>
    </row>
    <row r="195" spans="1:25" s="14" customFormat="1" x14ac:dyDescent="0.2">
      <c r="A195" s="4"/>
      <c r="B195" s="40" t="s">
        <v>32</v>
      </c>
      <c r="C195" s="619" t="str">
        <f t="shared" si="30"/>
        <v>Wastewater tank</v>
      </c>
      <c r="D195" s="620"/>
      <c r="E195" s="246">
        <f>SUMIF('Unit Rates'!J:J,$C195,'Unit Rates'!F:F)</f>
        <v>15100</v>
      </c>
      <c r="F195" s="243">
        <f t="shared" si="32"/>
        <v>0</v>
      </c>
      <c r="G195" s="243">
        <f t="shared" si="32"/>
        <v>0</v>
      </c>
      <c r="H195" s="243">
        <f t="shared" si="32"/>
        <v>0</v>
      </c>
      <c r="I195" s="243">
        <f t="shared" si="32"/>
        <v>0</v>
      </c>
      <c r="J195" s="244">
        <f t="shared" si="32"/>
        <v>0</v>
      </c>
      <c r="K195" s="485"/>
      <c r="L195" s="4"/>
      <c r="M195" s="4"/>
      <c r="N195" s="425">
        <v>3</v>
      </c>
      <c r="O195" s="426" t="s">
        <v>213</v>
      </c>
      <c r="R195" s="155"/>
    </row>
    <row r="196" spans="1:25" s="14" customFormat="1" x14ac:dyDescent="0.2">
      <c r="A196" s="4"/>
      <c r="B196" s="40" t="s">
        <v>32</v>
      </c>
      <c r="C196" s="619" t="str">
        <f t="shared" si="30"/>
        <v>Wastewater treatment plant (camp)</v>
      </c>
      <c r="D196" s="620"/>
      <c r="E196" s="246">
        <f>SUMIF('Unit Rates'!J:J,$C196,'Unit Rates'!F:F)</f>
        <v>7850</v>
      </c>
      <c r="F196" s="243">
        <f t="shared" si="32"/>
        <v>0</v>
      </c>
      <c r="G196" s="243">
        <f t="shared" si="32"/>
        <v>0</v>
      </c>
      <c r="H196" s="243">
        <f t="shared" si="32"/>
        <v>0</v>
      </c>
      <c r="I196" s="243">
        <f t="shared" si="32"/>
        <v>0</v>
      </c>
      <c r="J196" s="244">
        <f t="shared" si="32"/>
        <v>0</v>
      </c>
      <c r="K196" s="485"/>
      <c r="L196" s="4"/>
      <c r="M196" s="4"/>
      <c r="N196" s="425">
        <v>4</v>
      </c>
      <c r="O196" s="426" t="s">
        <v>214</v>
      </c>
      <c r="R196" s="155"/>
    </row>
    <row r="197" spans="1:25" s="14" customFormat="1" x14ac:dyDescent="0.2">
      <c r="A197" s="4"/>
      <c r="B197" s="40" t="s">
        <v>32</v>
      </c>
      <c r="C197" s="619" t="str">
        <f t="shared" si="30"/>
        <v>Turkey's nest</v>
      </c>
      <c r="D197" s="620"/>
      <c r="E197" s="247">
        <f>SUMIF('Unit Rates'!J:J,$C197,'Unit Rates'!F:F)</f>
        <v>2.36</v>
      </c>
      <c r="F197" s="243">
        <f t="shared" si="32"/>
        <v>0</v>
      </c>
      <c r="G197" s="243">
        <f t="shared" si="32"/>
        <v>0</v>
      </c>
      <c r="H197" s="243">
        <f t="shared" si="32"/>
        <v>0</v>
      </c>
      <c r="I197" s="243">
        <f t="shared" si="32"/>
        <v>0</v>
      </c>
      <c r="J197" s="244">
        <f t="shared" si="32"/>
        <v>0</v>
      </c>
      <c r="K197" s="485"/>
      <c r="L197" s="4"/>
      <c r="M197" s="4"/>
      <c r="N197" s="427">
        <v>5</v>
      </c>
      <c r="O197" s="428" t="s">
        <v>215</v>
      </c>
      <c r="P197" s="155"/>
      <c r="Q197" s="167"/>
      <c r="R197" s="155"/>
    </row>
    <row r="198" spans="1:25" s="14" customFormat="1" x14ac:dyDescent="0.2">
      <c r="A198" s="4"/>
      <c r="B198" s="40" t="s">
        <v>32</v>
      </c>
      <c r="C198" s="619" t="str">
        <f t="shared" si="30"/>
        <v>Camp capacity</v>
      </c>
      <c r="D198" s="620"/>
      <c r="E198" s="246" t="s">
        <v>210</v>
      </c>
      <c r="F198" s="243">
        <f>IF(F98&lt;21,F99*45000,(IF(AND(F98&gt;=21,F98&lt;51),F99*65000,(IF(AND(F98&gt;=51,F98&lt;101),F99*95000,(IF(AND(F98&gt;=101,F98&lt;151),F99*140000,(IF(F98&gt;=151,F99*170000,0)))))))))</f>
        <v>0</v>
      </c>
      <c r="G198" s="243">
        <f t="shared" ref="G198:J198" si="33">IF(G98&lt;21,G99*45000,(IF(AND(G98&gt;=21,G98&lt;51),G99*65000,(IF(AND(G98&gt;=51,G98&lt;101),G99*95000,(IF(AND(G98&gt;=101,G98&lt;151),G99*140000,(IF(G98&gt;=151,G99*170000,0)))))))))</f>
        <v>0</v>
      </c>
      <c r="H198" s="243">
        <f t="shared" si="33"/>
        <v>0</v>
      </c>
      <c r="I198" s="243">
        <f t="shared" si="33"/>
        <v>0</v>
      </c>
      <c r="J198" s="244">
        <f t="shared" si="33"/>
        <v>0</v>
      </c>
      <c r="K198" s="485"/>
      <c r="L198" s="4"/>
      <c r="M198" s="4"/>
      <c r="N198" s="4"/>
      <c r="O198" s="4"/>
      <c r="P198" s="4"/>
      <c r="Q198" s="4"/>
      <c r="R198" s="4"/>
      <c r="S198" s="4"/>
      <c r="T198" s="4"/>
      <c r="U198" s="4"/>
      <c r="V198" s="4"/>
      <c r="W198" s="4"/>
      <c r="X198" s="4"/>
      <c r="Y198" s="4"/>
    </row>
    <row r="199" spans="1:25" s="14" customFormat="1" x14ac:dyDescent="0.2">
      <c r="A199" s="4"/>
      <c r="B199" s="40" t="s">
        <v>32</v>
      </c>
      <c r="C199" s="619" t="str">
        <f t="shared" si="30"/>
        <v>Flowlines / pipelines - Above and below ground</v>
      </c>
      <c r="D199" s="620"/>
      <c r="E199" s="246">
        <f>SUMIF('Unit Rates'!J:J,$C199,'Unit Rates'!F:F)</f>
        <v>12.1</v>
      </c>
      <c r="F199" s="243">
        <f t="shared" ref="F199:J200" si="34">$E199*F159</f>
        <v>0</v>
      </c>
      <c r="G199" s="243">
        <f t="shared" si="34"/>
        <v>0</v>
      </c>
      <c r="H199" s="243">
        <f t="shared" si="34"/>
        <v>0</v>
      </c>
      <c r="I199" s="243">
        <f t="shared" si="34"/>
        <v>0</v>
      </c>
      <c r="J199" s="244">
        <f t="shared" si="34"/>
        <v>0</v>
      </c>
      <c r="K199" s="485"/>
      <c r="L199" s="4"/>
      <c r="M199" s="4"/>
      <c r="N199" s="4"/>
      <c r="O199" s="4"/>
      <c r="P199" s="4"/>
      <c r="Q199" s="4"/>
      <c r="R199" s="4"/>
      <c r="S199" s="4"/>
      <c r="T199" s="4"/>
      <c r="U199" s="4"/>
      <c r="V199" s="4"/>
      <c r="W199" s="4"/>
      <c r="X199" s="4"/>
      <c r="Y199" s="4"/>
    </row>
    <row r="200" spans="1:25" s="14" customFormat="1" x14ac:dyDescent="0.2">
      <c r="A200" s="4"/>
      <c r="B200" s="40" t="s">
        <v>32</v>
      </c>
      <c r="C200" s="634" t="str">
        <f t="shared" si="30"/>
        <v>Contaminated soil testing  - Per well pad</v>
      </c>
      <c r="D200" s="625"/>
      <c r="E200" s="246">
        <f>SUMIF('Unit Rates'!J:J,$C200,'Unit Rates'!F:F)</f>
        <v>65500</v>
      </c>
      <c r="F200" s="243">
        <f t="shared" si="34"/>
        <v>0</v>
      </c>
      <c r="G200" s="243">
        <f t="shared" si="34"/>
        <v>0</v>
      </c>
      <c r="H200" s="243">
        <f t="shared" si="34"/>
        <v>0</v>
      </c>
      <c r="I200" s="243">
        <f t="shared" si="34"/>
        <v>0</v>
      </c>
      <c r="J200" s="244">
        <f t="shared" si="34"/>
        <v>0</v>
      </c>
      <c r="K200" s="485"/>
      <c r="L200" s="4"/>
      <c r="M200" s="4"/>
      <c r="N200" s="4"/>
      <c r="O200" s="4"/>
      <c r="P200" s="4"/>
      <c r="Q200" s="4"/>
      <c r="R200" s="4"/>
      <c r="S200" s="4"/>
      <c r="T200" s="4"/>
      <c r="U200" s="4"/>
      <c r="V200" s="4"/>
      <c r="W200" s="4"/>
      <c r="X200" s="4"/>
      <c r="Y200" s="4"/>
    </row>
    <row r="201" spans="1:25" s="14" customFormat="1" x14ac:dyDescent="0.2">
      <c r="A201" s="4"/>
      <c r="B201" s="40" t="s">
        <v>35</v>
      </c>
      <c r="C201" s="619" t="str">
        <f t="shared" si="30"/>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485"/>
      <c r="L201" s="4"/>
      <c r="M201" s="4"/>
      <c r="N201" s="4"/>
      <c r="O201" s="4"/>
      <c r="P201" s="4"/>
      <c r="Q201" s="4"/>
      <c r="R201" s="4"/>
      <c r="S201" s="4"/>
      <c r="T201" s="4"/>
      <c r="U201" s="4"/>
      <c r="V201" s="4"/>
      <c r="W201" s="4"/>
      <c r="X201" s="4"/>
      <c r="Y201" s="4"/>
    </row>
    <row r="202" spans="1:25" s="14" customFormat="1" x14ac:dyDescent="0.2">
      <c r="A202" s="4"/>
      <c r="B202" s="40" t="s">
        <v>35</v>
      </c>
      <c r="C202" s="619" t="str">
        <f t="shared" si="30"/>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485"/>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30"/>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485"/>
      <c r="M203" s="4"/>
      <c r="N203" s="4"/>
      <c r="O203" s="39" t="s">
        <v>216</v>
      </c>
      <c r="P203" s="39" t="s">
        <v>217</v>
      </c>
      <c r="Q203" s="39" t="s">
        <v>218</v>
      </c>
      <c r="R203" s="14" t="s">
        <v>219</v>
      </c>
      <c r="S203" s="14" t="s">
        <v>220</v>
      </c>
    </row>
    <row r="204" spans="1:25" s="14" customFormat="1" x14ac:dyDescent="0.2">
      <c r="A204" s="474"/>
      <c r="B204" s="40" t="s">
        <v>35</v>
      </c>
      <c r="C204" s="619" t="str">
        <f t="shared" si="30"/>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30"/>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485"/>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30"/>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485"/>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30"/>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485"/>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30"/>
        <v>Liners</v>
      </c>
      <c r="D208" s="620"/>
      <c r="E208" s="246">
        <f>SUMIF('Unit Rates'!J:J,$C208,'Unit Rates'!F:F)</f>
        <v>9576</v>
      </c>
      <c r="F208" s="243">
        <f>$E208*F168</f>
        <v>0</v>
      </c>
      <c r="G208" s="243">
        <f>$E208*G168</f>
        <v>0</v>
      </c>
      <c r="H208" s="243">
        <f>$E208*H168</f>
        <v>0</v>
      </c>
      <c r="I208" s="243">
        <f>$E208*I168</f>
        <v>0</v>
      </c>
      <c r="J208" s="244">
        <f>$E208*J168</f>
        <v>0</v>
      </c>
      <c r="K208" s="485"/>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30"/>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454"/>
      <c r="E210" s="485"/>
      <c r="F210" s="485"/>
      <c r="G210" s="485"/>
      <c r="H210" s="485"/>
      <c r="I210" s="485"/>
      <c r="J210" s="485"/>
      <c r="K210" s="485"/>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tR5zveo/aHcwaz6TWt/3bToDRdKRl1EpSHQoAN9AXUbbiNk+I2Htk7vsAFM/6Ma5l1OM1c67FBKHW/tNsd8hJg==" saltValue="QJZP7AJQ24wFEhjNiQV6uw==" spinCount="100000" sheet="1" objects="1" scenarios="1"/>
  <mergeCells count="147">
    <mergeCell ref="C206:D206"/>
    <mergeCell ref="C207:D207"/>
    <mergeCell ref="C208:D208"/>
    <mergeCell ref="C209:D209"/>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B168:D168"/>
    <mergeCell ref="B169:D169"/>
    <mergeCell ref="B172:D172"/>
    <mergeCell ref="C173:D173"/>
    <mergeCell ref="C174:D174"/>
    <mergeCell ref="C175:D175"/>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93:B97"/>
    <mergeCell ref="C93:C97"/>
    <mergeCell ref="K93:K97"/>
    <mergeCell ref="B98:B99"/>
    <mergeCell ref="C98:C99"/>
    <mergeCell ref="K98:K99"/>
    <mergeCell ref="B81:B85"/>
    <mergeCell ref="C81:C85"/>
    <mergeCell ref="K81:K85"/>
    <mergeCell ref="B86:B90"/>
    <mergeCell ref="C86:C90"/>
    <mergeCell ref="K86:K90"/>
    <mergeCell ref="B60:B62"/>
    <mergeCell ref="C60:C62"/>
    <mergeCell ref="K60:K62"/>
    <mergeCell ref="L60:L62"/>
    <mergeCell ref="B63:B65"/>
    <mergeCell ref="C63:C65"/>
    <mergeCell ref="K63:K65"/>
    <mergeCell ref="L63:L65"/>
    <mergeCell ref="B52:B55"/>
    <mergeCell ref="C52:C55"/>
    <mergeCell ref="K52:K55"/>
    <mergeCell ref="L52:L55"/>
    <mergeCell ref="B56:B59"/>
    <mergeCell ref="C56:C59"/>
    <mergeCell ref="K56:K59"/>
    <mergeCell ref="L56:L59"/>
    <mergeCell ref="B46:B48"/>
    <mergeCell ref="C46:C48"/>
    <mergeCell ref="K46:K48"/>
    <mergeCell ref="L46:L48"/>
    <mergeCell ref="B49:B51"/>
    <mergeCell ref="C49:C51"/>
    <mergeCell ref="K49:K51"/>
    <mergeCell ref="L49:L51"/>
    <mergeCell ref="B40:B42"/>
    <mergeCell ref="C40:C42"/>
    <mergeCell ref="K40:K42"/>
    <mergeCell ref="L40:L42"/>
    <mergeCell ref="B43:B45"/>
    <mergeCell ref="C43:C45"/>
    <mergeCell ref="K43:K45"/>
    <mergeCell ref="L43:L45"/>
    <mergeCell ref="B37:B39"/>
    <mergeCell ref="C37:C39"/>
    <mergeCell ref="K37:K39"/>
    <mergeCell ref="L37:L39"/>
    <mergeCell ref="B26:B28"/>
    <mergeCell ref="C26:C28"/>
    <mergeCell ref="K26:K28"/>
    <mergeCell ref="L26:L28"/>
    <mergeCell ref="B31:B33"/>
    <mergeCell ref="C31:C33"/>
    <mergeCell ref="K31:K33"/>
    <mergeCell ref="L31:L33"/>
    <mergeCell ref="B3:G3"/>
    <mergeCell ref="B4:G16"/>
    <mergeCell ref="I11:L11"/>
    <mergeCell ref="I12:L15"/>
    <mergeCell ref="B19:L20"/>
    <mergeCell ref="B21:L22"/>
    <mergeCell ref="B34:B36"/>
    <mergeCell ref="C34:C36"/>
    <mergeCell ref="K34:K36"/>
    <mergeCell ref="L34:L36"/>
    <mergeCell ref="I5:K5"/>
    <mergeCell ref="I6:K6"/>
    <mergeCell ref="I7:K7"/>
    <mergeCell ref="I8:K8"/>
    <mergeCell ref="I9:K9"/>
  </mergeCells>
  <dataValidations count="2">
    <dataValidation type="list" allowBlank="1" showInputMessage="1" showErrorMessage="1" sqref="L7">
      <formula1>" ,HydrEra Facility,Westrex Facility"</formula1>
    </dataValidation>
    <dataValidation type="list" allowBlank="1" showInputMessage="1" showErrorMessage="1" sqref="F117:J117 F112:J112 F127:J127 F122:J122">
      <formula1>"0,1,2,3,4,5"</formula1>
    </dataValidation>
  </dataValidations>
  <pageMargins left="0.25" right="0.25" top="0.75" bottom="0.75" header="0.3" footer="0.3"/>
  <pageSetup paperSize="8"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S225"/>
  <sheetViews>
    <sheetView tabSelected="1" zoomScaleNormal="100" workbookViewId="0">
      <selection activeCell="C1" sqref="C1"/>
    </sheetView>
  </sheetViews>
  <sheetFormatPr defaultColWidth="0" defaultRowHeight="14.25" zeroHeight="1" outlineLevelRow="1" x14ac:dyDescent="0.2"/>
  <cols>
    <col min="1" max="1" width="4.5703125" style="4" customWidth="1"/>
    <col min="2" max="2" width="23.5703125" style="4" customWidth="1"/>
    <col min="3" max="3" width="22.42578125" style="4" customWidth="1"/>
    <col min="4" max="4" width="25.5703125" style="5" customWidth="1"/>
    <col min="5" max="5" width="17.5703125" style="5" customWidth="1"/>
    <col min="6" max="10" width="15.5703125" style="5" customWidth="1"/>
    <col min="11" max="11" width="42.5703125" style="485" customWidth="1"/>
    <col min="12" max="12" width="62.7109375" style="4" customWidth="1"/>
    <col min="13" max="13" width="10.42578125" style="4" customWidth="1"/>
    <col min="14" max="14" width="39.42578125" style="4" hidden="1" customWidth="1"/>
    <col min="15" max="15" width="18.42578125" style="4" hidden="1" customWidth="1"/>
    <col min="16" max="16" width="11.5703125" style="4" hidden="1" customWidth="1"/>
    <col min="17" max="17" width="15" style="4" hidden="1" customWidth="1"/>
    <col min="18" max="18" width="26.7109375" style="5" hidden="1" customWidth="1"/>
    <col min="19" max="19" width="10.5703125" style="5" hidden="1" customWidth="1"/>
    <col min="20" max="22" width="14.28515625" style="5" hidden="1" customWidth="1"/>
    <col min="23" max="25" width="12.42578125" style="5" hidden="1" customWidth="1"/>
    <col min="26" max="26" width="0.42578125" style="5" hidden="1" customWidth="1"/>
    <col min="27" max="16384" width="12.42578125" style="5" hidden="1"/>
  </cols>
  <sheetData>
    <row r="1" spans="1:45" s="141" customFormat="1" ht="23.25" thickBot="1" x14ac:dyDescent="0.25">
      <c r="A1" s="140"/>
      <c r="B1" s="204" t="str" cm="1">
        <f t="array" aca="1" ref="B1" ca="1">MID(CELL("filename",C1),FIND("]",CELL("filename",C1))+1,255)</f>
        <v>Title_06</v>
      </c>
      <c r="C1" s="140"/>
      <c r="K1" s="142"/>
      <c r="L1" s="140"/>
      <c r="M1" s="140"/>
      <c r="N1" s="140"/>
      <c r="O1" s="140"/>
      <c r="P1" s="140"/>
      <c r="Q1" s="140"/>
    </row>
    <row r="2" spans="1:45" x14ac:dyDescent="0.2">
      <c r="B2" s="5"/>
      <c r="J2" s="14"/>
    </row>
    <row r="3" spans="1:45" s="78" customFormat="1" ht="18" x14ac:dyDescent="0.25">
      <c r="A3" s="77"/>
      <c r="B3" s="660" t="s">
        <v>7</v>
      </c>
      <c r="C3" s="661"/>
      <c r="D3" s="661"/>
      <c r="E3" s="661"/>
      <c r="F3" s="661"/>
      <c r="G3" s="661"/>
      <c r="H3" s="14"/>
      <c r="I3" s="207" t="str">
        <f ca="1">"Table "&amp;$N$9&amp;".1 General Title details"</f>
        <v>Table 6.1 General Title details</v>
      </c>
      <c r="K3" s="105"/>
      <c r="M3" s="77"/>
      <c r="N3" s="77"/>
      <c r="O3" s="77"/>
      <c r="P3" s="77"/>
      <c r="Q3" s="77"/>
    </row>
    <row r="4" spans="1:45" s="78" customFormat="1" ht="36" x14ac:dyDescent="0.25">
      <c r="A4" s="77"/>
      <c r="B4" s="528" t="s">
        <v>141</v>
      </c>
      <c r="C4" s="528"/>
      <c r="D4" s="528"/>
      <c r="E4" s="528"/>
      <c r="F4" s="528"/>
      <c r="G4" s="528"/>
      <c r="H4" s="14"/>
      <c r="I4" s="112" t="s">
        <v>142</v>
      </c>
      <c r="J4" s="113"/>
      <c r="K4" s="113"/>
      <c r="L4" s="114"/>
      <c r="M4" s="77"/>
      <c r="N4" s="77"/>
      <c r="O4" s="77"/>
      <c r="P4" s="77"/>
      <c r="Q4" s="77"/>
      <c r="R4" s="77"/>
      <c r="S4" s="77"/>
      <c r="T4" s="77"/>
      <c r="U4" s="77"/>
      <c r="V4" s="77"/>
      <c r="W4" s="77"/>
      <c r="X4" s="77"/>
    </row>
    <row r="5" spans="1:45" ht="15" x14ac:dyDescent="0.2">
      <c r="B5" s="528"/>
      <c r="C5" s="528"/>
      <c r="D5" s="528"/>
      <c r="E5" s="528"/>
      <c r="F5" s="528"/>
      <c r="G5" s="528"/>
      <c r="H5" s="14"/>
      <c r="I5" s="655" t="s">
        <v>320</v>
      </c>
      <c r="J5" s="656"/>
      <c r="K5" s="657"/>
      <c r="L5" s="208"/>
      <c r="R5" s="4"/>
      <c r="S5" s="4"/>
      <c r="T5" s="4"/>
      <c r="U5" s="4"/>
      <c r="V5" s="4"/>
      <c r="W5" s="4"/>
      <c r="X5" s="4"/>
    </row>
    <row r="6" spans="1:45" ht="15" x14ac:dyDescent="0.2">
      <c r="B6" s="528"/>
      <c r="C6" s="528"/>
      <c r="D6" s="528"/>
      <c r="E6" s="528"/>
      <c r="F6" s="528"/>
      <c r="G6" s="528"/>
      <c r="H6" s="14"/>
      <c r="I6" s="655" t="s">
        <v>326</v>
      </c>
      <c r="J6" s="656"/>
      <c r="K6" s="657"/>
      <c r="L6" s="512"/>
      <c r="R6" s="4"/>
      <c r="S6" s="4"/>
      <c r="T6" s="4"/>
      <c r="U6" s="4"/>
      <c r="V6" s="4"/>
      <c r="W6" s="4"/>
      <c r="X6" s="4"/>
    </row>
    <row r="7" spans="1:45" s="14" customFormat="1" ht="15" x14ac:dyDescent="0.2">
      <c r="A7" s="4"/>
      <c r="B7" s="528"/>
      <c r="C7" s="528"/>
      <c r="D7" s="528"/>
      <c r="E7" s="528"/>
      <c r="F7" s="528"/>
      <c r="G7" s="528"/>
      <c r="I7" s="655" t="s">
        <v>143</v>
      </c>
      <c r="J7" s="656"/>
      <c r="K7" s="657"/>
      <c r="L7" s="208"/>
      <c r="M7" s="4"/>
      <c r="N7" s="4"/>
      <c r="O7" s="4"/>
      <c r="P7" s="4"/>
      <c r="Q7" s="4"/>
      <c r="R7" s="4"/>
      <c r="S7" s="4"/>
      <c r="T7" s="4"/>
      <c r="U7" s="4"/>
      <c r="V7" s="4"/>
      <c r="W7" s="4"/>
      <c r="X7" s="4"/>
      <c r="Y7" s="5"/>
      <c r="Z7" s="5"/>
      <c r="AA7" s="5"/>
      <c r="AB7" s="5"/>
      <c r="AC7" s="5"/>
      <c r="AD7" s="5"/>
      <c r="AE7" s="5"/>
      <c r="AF7" s="5"/>
      <c r="AG7" s="5"/>
      <c r="AH7" s="5"/>
      <c r="AI7" s="5"/>
      <c r="AJ7" s="5"/>
      <c r="AK7" s="5"/>
      <c r="AL7" s="5"/>
      <c r="AM7" s="5"/>
      <c r="AN7" s="5"/>
      <c r="AO7" s="5"/>
      <c r="AP7" s="5"/>
      <c r="AQ7" s="5"/>
      <c r="AR7" s="5"/>
      <c r="AS7" s="5"/>
    </row>
    <row r="8" spans="1:45" s="14" customFormat="1" ht="15" x14ac:dyDescent="0.2">
      <c r="A8" s="4"/>
      <c r="B8" s="528"/>
      <c r="C8" s="528"/>
      <c r="D8" s="528"/>
      <c r="E8" s="528"/>
      <c r="F8" s="528"/>
      <c r="G8" s="528"/>
      <c r="I8" s="655" t="s">
        <v>144</v>
      </c>
      <c r="J8" s="656"/>
      <c r="K8" s="657"/>
      <c r="L8" s="209"/>
      <c r="M8" s="4"/>
      <c r="N8" s="38" t="s">
        <v>58</v>
      </c>
      <c r="O8" s="38"/>
      <c r="P8" s="38"/>
      <c r="Q8" s="38"/>
      <c r="R8" s="38"/>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s="14" customFormat="1" ht="15" x14ac:dyDescent="0.2">
      <c r="A9" s="4"/>
      <c r="B9" s="528"/>
      <c r="C9" s="528"/>
      <c r="D9" s="528"/>
      <c r="E9" s="528"/>
      <c r="F9" s="528"/>
      <c r="G9" s="528"/>
      <c r="I9" s="655" t="s">
        <v>327</v>
      </c>
      <c r="J9" s="656"/>
      <c r="K9" s="657"/>
      <c r="L9" s="511"/>
      <c r="M9" s="4"/>
      <c r="N9" s="210" t="str">
        <f ca="1">RIGHT(B1,1)</f>
        <v>6</v>
      </c>
      <c r="O9" s="145"/>
      <c r="P9" s="145"/>
      <c r="Q9" s="145"/>
      <c r="R9" s="146"/>
      <c r="S9" s="4"/>
      <c r="T9" s="4"/>
      <c r="U9" s="5"/>
      <c r="V9" s="5"/>
      <c r="W9" s="5"/>
      <c r="X9" s="5"/>
      <c r="Y9" s="5"/>
      <c r="Z9" s="5"/>
      <c r="AA9" s="5"/>
      <c r="AB9" s="5"/>
      <c r="AC9" s="5"/>
      <c r="AD9" s="5"/>
      <c r="AE9" s="5"/>
      <c r="AF9" s="5"/>
      <c r="AG9" s="5"/>
      <c r="AH9" s="5"/>
      <c r="AI9" s="5"/>
      <c r="AJ9" s="5"/>
      <c r="AK9" s="5"/>
      <c r="AL9" s="5"/>
      <c r="AM9" s="5"/>
      <c r="AN9" s="5"/>
      <c r="AO9" s="5"/>
      <c r="AP9" s="5"/>
      <c r="AQ9" s="5"/>
      <c r="AR9" s="5"/>
      <c r="AS9" s="5"/>
    </row>
    <row r="10" spans="1:45" s="14" customFormat="1" x14ac:dyDescent="0.2">
      <c r="A10" s="4"/>
      <c r="B10" s="528"/>
      <c r="C10" s="528"/>
      <c r="D10" s="528"/>
      <c r="E10" s="528"/>
      <c r="F10" s="528"/>
      <c r="G10" s="528"/>
      <c r="I10" s="187" t="s">
        <v>145</v>
      </c>
      <c r="J10" s="485"/>
      <c r="K10" s="188"/>
      <c r="L10" s="158"/>
      <c r="M10" s="4"/>
      <c r="N10" s="4"/>
      <c r="O10" s="4"/>
      <c r="P10" s="4"/>
      <c r="Q10" s="4"/>
      <c r="R10" s="4"/>
      <c r="S10" s="4"/>
      <c r="T10" s="4"/>
      <c r="U10" s="4"/>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14" customFormat="1" x14ac:dyDescent="0.2">
      <c r="A11" s="4"/>
      <c r="B11" s="528"/>
      <c r="C11" s="528"/>
      <c r="D11" s="528"/>
      <c r="E11" s="528"/>
      <c r="F11" s="528"/>
      <c r="G11" s="528"/>
      <c r="I11" s="522" t="s">
        <v>146</v>
      </c>
      <c r="J11" s="522"/>
      <c r="K11" s="522"/>
      <c r="L11" s="522"/>
      <c r="M11" s="4"/>
      <c r="N11" s="4"/>
      <c r="O11" s="4"/>
      <c r="P11" s="4"/>
      <c r="Q11" s="4"/>
      <c r="R11" s="4"/>
      <c r="S11" s="4"/>
      <c r="T11" s="4"/>
      <c r="U11" s="4"/>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14" customFormat="1" x14ac:dyDescent="0.2">
      <c r="A12" s="4"/>
      <c r="B12" s="528"/>
      <c r="C12" s="528"/>
      <c r="D12" s="528"/>
      <c r="E12" s="528"/>
      <c r="F12" s="528"/>
      <c r="G12" s="528"/>
      <c r="I12" s="609" t="s">
        <v>319</v>
      </c>
      <c r="J12" s="609"/>
      <c r="K12" s="609"/>
      <c r="L12" s="609"/>
      <c r="M12" s="4"/>
      <c r="O12" s="36"/>
      <c r="P12" s="36"/>
      <c r="Q12" s="36"/>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14" customFormat="1" x14ac:dyDescent="0.2">
      <c r="A13" s="4"/>
      <c r="B13" s="528"/>
      <c r="C13" s="528"/>
      <c r="D13" s="528"/>
      <c r="E13" s="528"/>
      <c r="F13" s="528"/>
      <c r="G13" s="528"/>
      <c r="I13" s="609"/>
      <c r="J13" s="609"/>
      <c r="K13" s="609"/>
      <c r="L13" s="609"/>
      <c r="M13" s="4"/>
      <c r="O13" s="36"/>
      <c r="P13" s="36"/>
      <c r="Q13" s="36"/>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14" customFormat="1" x14ac:dyDescent="0.2">
      <c r="A14" s="4"/>
      <c r="B14" s="528"/>
      <c r="C14" s="528"/>
      <c r="D14" s="528"/>
      <c r="E14" s="528"/>
      <c r="F14" s="528"/>
      <c r="G14" s="528"/>
      <c r="I14" s="609"/>
      <c r="J14" s="609"/>
      <c r="K14" s="609"/>
      <c r="L14" s="609"/>
      <c r="M14" s="4"/>
      <c r="O14" s="36"/>
      <c r="P14" s="36"/>
      <c r="Q14" s="36"/>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14" customFormat="1" x14ac:dyDescent="0.2">
      <c r="A15" s="4"/>
      <c r="B15" s="528"/>
      <c r="C15" s="528"/>
      <c r="D15" s="528"/>
      <c r="E15" s="528"/>
      <c r="F15" s="528"/>
      <c r="G15" s="528"/>
      <c r="I15" s="609"/>
      <c r="J15" s="609"/>
      <c r="K15" s="609"/>
      <c r="L15" s="609"/>
      <c r="M15" s="4"/>
      <c r="O15" s="36"/>
      <c r="P15" s="36"/>
      <c r="Q15" s="36"/>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4" customFormat="1" x14ac:dyDescent="0.2">
      <c r="A16" s="4"/>
      <c r="B16" s="528"/>
      <c r="C16" s="528"/>
      <c r="D16" s="528"/>
      <c r="E16" s="528"/>
      <c r="F16" s="528"/>
      <c r="G16" s="528"/>
      <c r="K16" s="153"/>
      <c r="L16" s="4"/>
      <c r="M16" s="4"/>
      <c r="N16" s="36"/>
      <c r="O16" s="36"/>
      <c r="P16" s="36"/>
      <c r="Q16" s="3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14" customFormat="1" x14ac:dyDescent="0.2">
      <c r="A17" s="4"/>
      <c r="K17" s="153"/>
      <c r="L17" s="4"/>
      <c r="M17" s="4"/>
      <c r="N17" s="36"/>
      <c r="O17" s="36"/>
      <c r="P17" s="36"/>
      <c r="Q17" s="36"/>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14" customFormat="1" x14ac:dyDescent="0.2">
      <c r="A18" s="4"/>
      <c r="B18" s="207" t="str">
        <f ca="1">"Table "&amp;$N$9&amp;".2 EMP details"</f>
        <v>Table 6.2 EMP details</v>
      </c>
      <c r="M18" s="4"/>
      <c r="N18" s="36"/>
      <c r="O18" s="36"/>
      <c r="P18" s="36"/>
      <c r="Q18" s="36"/>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14" customFormat="1" x14ac:dyDescent="0.2">
      <c r="A19" s="4"/>
      <c r="B19" s="662" t="s">
        <v>147</v>
      </c>
      <c r="C19" s="662"/>
      <c r="D19" s="662"/>
      <c r="E19" s="662"/>
      <c r="F19" s="662"/>
      <c r="G19" s="662"/>
      <c r="H19" s="662"/>
      <c r="I19" s="662"/>
      <c r="J19" s="662"/>
      <c r="K19" s="662"/>
      <c r="L19" s="662"/>
      <c r="M19" s="4"/>
      <c r="N19" s="36"/>
      <c r="O19" s="36"/>
      <c r="P19" s="36"/>
      <c r="Q19" s="36"/>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14" customFormat="1" x14ac:dyDescent="0.2">
      <c r="A20" s="4"/>
      <c r="B20" s="662"/>
      <c r="C20" s="662"/>
      <c r="D20" s="662"/>
      <c r="E20" s="662"/>
      <c r="F20" s="662"/>
      <c r="G20" s="662"/>
      <c r="H20" s="662"/>
      <c r="I20" s="662"/>
      <c r="J20" s="662"/>
      <c r="K20" s="662"/>
      <c r="L20" s="662"/>
      <c r="M20" s="4"/>
      <c r="N20" s="36"/>
      <c r="O20" s="36"/>
      <c r="P20" s="36"/>
      <c r="Q20" s="36"/>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14" customFormat="1" x14ac:dyDescent="0.2">
      <c r="A21" s="4"/>
      <c r="B21" s="662" t="s">
        <v>148</v>
      </c>
      <c r="C21" s="662"/>
      <c r="D21" s="662"/>
      <c r="E21" s="662"/>
      <c r="F21" s="662"/>
      <c r="G21" s="662"/>
      <c r="H21" s="662"/>
      <c r="I21" s="662"/>
      <c r="J21" s="662"/>
      <c r="K21" s="662"/>
      <c r="L21" s="662"/>
      <c r="M21" s="4"/>
      <c r="N21" s="36"/>
      <c r="O21" s="36"/>
      <c r="P21" s="36"/>
      <c r="Q21" s="36"/>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14" customFormat="1" x14ac:dyDescent="0.2">
      <c r="A22" s="4"/>
      <c r="B22" s="662"/>
      <c r="C22" s="662"/>
      <c r="D22" s="662"/>
      <c r="E22" s="662"/>
      <c r="F22" s="662"/>
      <c r="G22" s="662"/>
      <c r="H22" s="662"/>
      <c r="I22" s="662"/>
      <c r="J22" s="662"/>
      <c r="K22" s="662"/>
      <c r="L22" s="662"/>
      <c r="M22" s="4"/>
      <c r="N22" s="36"/>
      <c r="O22" s="36"/>
      <c r="P22" s="36"/>
      <c r="Q22" s="36"/>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14" customFormat="1" ht="15" thickBot="1" x14ac:dyDescent="0.25">
      <c r="A23" s="4"/>
      <c r="B23" s="149" t="s">
        <v>149</v>
      </c>
      <c r="C23" s="147"/>
      <c r="D23" s="124"/>
      <c r="E23" s="154"/>
      <c r="F23" s="154"/>
      <c r="G23" s="154"/>
      <c r="H23" s="154"/>
      <c r="I23" s="154"/>
      <c r="J23" s="154"/>
      <c r="K23" s="486"/>
      <c r="L23" s="150"/>
      <c r="M23" s="4"/>
      <c r="N23" s="36"/>
      <c r="O23" s="36"/>
      <c r="P23" s="36"/>
      <c r="Q23" s="3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14" customFormat="1" ht="36.75" thickBot="1" x14ac:dyDescent="0.3">
      <c r="A24" s="155"/>
      <c r="B24" s="492" t="s">
        <v>52</v>
      </c>
      <c r="C24" s="493" t="s">
        <v>54</v>
      </c>
      <c r="D24" s="37" t="s">
        <v>55</v>
      </c>
      <c r="E24" s="37"/>
      <c r="F24" s="23" t="s">
        <v>17</v>
      </c>
      <c r="G24" s="23" t="s">
        <v>150</v>
      </c>
      <c r="H24" s="23" t="s">
        <v>19</v>
      </c>
      <c r="I24" s="23" t="s">
        <v>20</v>
      </c>
      <c r="J24" s="23" t="s">
        <v>21</v>
      </c>
      <c r="K24" s="493" t="s">
        <v>2</v>
      </c>
      <c r="L24" s="494" t="s">
        <v>151</v>
      </c>
      <c r="M24" s="155"/>
      <c r="N24" s="36"/>
      <c r="O24" s="36"/>
      <c r="P24" s="36"/>
      <c r="Q24" s="36"/>
    </row>
    <row r="25" spans="1:45" s="156" customFormat="1" ht="18.75" thickBot="1" x14ac:dyDescent="0.3">
      <c r="A25" s="77"/>
      <c r="B25" s="211" t="str">
        <f ca="1">"Table "&amp;$N$9&amp;".2.1 Rehabilitation activities"</f>
        <v>Table 6.2.1 Rehabilitation activities</v>
      </c>
      <c r="C25" s="79"/>
      <c r="D25" s="80"/>
      <c r="E25" s="80"/>
      <c r="F25" s="80"/>
      <c r="G25" s="80"/>
      <c r="H25" s="81"/>
      <c r="I25" s="81"/>
      <c r="J25" s="81"/>
      <c r="K25" s="106"/>
      <c r="L25" s="82"/>
      <c r="M25" s="77"/>
      <c r="N25" s="83"/>
      <c r="O25" s="83"/>
      <c r="P25" s="83" t="s">
        <v>60</v>
      </c>
      <c r="Q25" s="83"/>
      <c r="R25" s="83"/>
      <c r="S25" s="84"/>
      <c r="T25" s="84"/>
      <c r="U25" s="84"/>
      <c r="V25" s="84"/>
      <c r="W25" s="84"/>
      <c r="X25" s="84"/>
    </row>
    <row r="26" spans="1:45" s="14" customFormat="1" outlineLevel="1" x14ac:dyDescent="0.2">
      <c r="A26" s="4"/>
      <c r="B26" s="665" t="s">
        <v>62</v>
      </c>
      <c r="C26" s="666" t="s">
        <v>70</v>
      </c>
      <c r="D26" s="60" t="s">
        <v>103</v>
      </c>
      <c r="E26" s="127" t="s">
        <v>136</v>
      </c>
      <c r="F26" s="128">
        <v>0</v>
      </c>
      <c r="G26" s="128">
        <v>0</v>
      </c>
      <c r="H26" s="128">
        <v>0</v>
      </c>
      <c r="I26" s="128">
        <v>0</v>
      </c>
      <c r="J26" s="128">
        <v>0</v>
      </c>
      <c r="K26" s="663" t="s">
        <v>152</v>
      </c>
      <c r="L26" s="664"/>
      <c r="M26" s="4"/>
      <c r="N26" s="212" t="str">
        <f t="shared" ref="N26:O41" si="0">IF(B26="",N25,B26)</f>
        <v>Seismic lines</v>
      </c>
      <c r="O26" s="213" t="str">
        <f>IF(C26="",O8,C26)</f>
        <v>-</v>
      </c>
      <c r="P26" s="213" t="str">
        <f t="shared" ref="P26:P67" si="1">IF(Q26=1,IF(O26&lt;&gt;"-",N26&amp;" - "&amp;O26,N26),"")</f>
        <v/>
      </c>
      <c r="Q26" s="214"/>
      <c r="R26" s="215" t="str">
        <f t="shared" ref="R26:R67" si="2">E26</f>
        <v>km</v>
      </c>
    </row>
    <row r="27" spans="1:45" s="14" customFormat="1" outlineLevel="1" x14ac:dyDescent="0.2">
      <c r="A27" s="4"/>
      <c r="B27" s="653"/>
      <c r="C27" s="641"/>
      <c r="D27" s="49" t="s">
        <v>153</v>
      </c>
      <c r="E27" s="50" t="s">
        <v>79</v>
      </c>
      <c r="F27" s="56">
        <v>0</v>
      </c>
      <c r="G27" s="56">
        <v>0</v>
      </c>
      <c r="H27" s="56">
        <v>0</v>
      </c>
      <c r="I27" s="56">
        <v>0</v>
      </c>
      <c r="J27" s="56">
        <v>0</v>
      </c>
      <c r="K27" s="611"/>
      <c r="L27" s="610"/>
      <c r="M27" s="4"/>
      <c r="N27" s="212" t="str">
        <f t="shared" si="0"/>
        <v>Seismic lines</v>
      </c>
      <c r="O27" s="213" t="str">
        <f t="shared" si="0"/>
        <v>-</v>
      </c>
      <c r="P27" s="213" t="str">
        <f t="shared" si="1"/>
        <v/>
      </c>
      <c r="Q27" s="214"/>
      <c r="R27" s="215" t="str">
        <f t="shared" si="2"/>
        <v>m</v>
      </c>
    </row>
    <row r="28" spans="1:45" s="14" customFormat="1" outlineLevel="1" x14ac:dyDescent="0.2">
      <c r="A28" s="4"/>
      <c r="B28" s="653"/>
      <c r="C28" s="641"/>
      <c r="D28" s="49" t="s">
        <v>73</v>
      </c>
      <c r="E28" s="50" t="s">
        <v>64</v>
      </c>
      <c r="F28" s="221">
        <f>((F26*1000)*F27)/10000</f>
        <v>0</v>
      </c>
      <c r="G28" s="221">
        <f>((G26*1000)*G27)/10000</f>
        <v>0</v>
      </c>
      <c r="H28" s="221">
        <f>((H26*1000)*H27)/10000</f>
        <v>0</v>
      </c>
      <c r="I28" s="221">
        <f>((I26*1000)*I27)/10000</f>
        <v>0</v>
      </c>
      <c r="J28" s="221">
        <f>((J26*1000)*J27)/10000</f>
        <v>0</v>
      </c>
      <c r="K28" s="611"/>
      <c r="L28" s="610"/>
      <c r="M28" s="4"/>
      <c r="N28" s="216" t="str">
        <f t="shared" si="0"/>
        <v>Seismic lines</v>
      </c>
      <c r="O28" s="213" t="str">
        <f t="shared" si="0"/>
        <v>-</v>
      </c>
      <c r="P28" s="213" t="str">
        <f t="shared" si="1"/>
        <v>Seismic lines</v>
      </c>
      <c r="Q28" s="214">
        <v>1</v>
      </c>
      <c r="R28" s="215" t="str">
        <f t="shared" si="2"/>
        <v>ha</v>
      </c>
    </row>
    <row r="29" spans="1:45" s="14" customFormat="1" ht="28.5" outlineLevel="1" x14ac:dyDescent="0.2">
      <c r="A29" s="4"/>
      <c r="B29" s="451" t="s">
        <v>277</v>
      </c>
      <c r="C29" s="488"/>
      <c r="D29" s="49" t="s">
        <v>103</v>
      </c>
      <c r="E29" s="50" t="s">
        <v>136</v>
      </c>
      <c r="F29" s="222">
        <v>0</v>
      </c>
      <c r="G29" s="222">
        <v>0</v>
      </c>
      <c r="H29" s="222">
        <v>0</v>
      </c>
      <c r="I29" s="222">
        <v>0</v>
      </c>
      <c r="J29" s="222">
        <v>0</v>
      </c>
      <c r="K29" s="473" t="s">
        <v>301</v>
      </c>
      <c r="L29" s="489"/>
      <c r="M29" s="4"/>
      <c r="N29" s="216" t="str">
        <f t="shared" si="0"/>
        <v>Flowline right of ways - By track</v>
      </c>
      <c r="O29" s="213" t="str">
        <f t="shared" si="0"/>
        <v>-</v>
      </c>
      <c r="P29" s="213" t="str">
        <f t="shared" si="1"/>
        <v>Flowline right of ways - By track</v>
      </c>
      <c r="Q29" s="214">
        <v>1</v>
      </c>
      <c r="R29" s="215" t="str">
        <f t="shared" si="2"/>
        <v>km</v>
      </c>
    </row>
    <row r="30" spans="1:45" s="14" customFormat="1" ht="28.5" outlineLevel="1" x14ac:dyDescent="0.2">
      <c r="A30" s="4"/>
      <c r="B30" s="451" t="s">
        <v>278</v>
      </c>
      <c r="C30" s="488"/>
      <c r="D30" s="49" t="s">
        <v>103</v>
      </c>
      <c r="E30" s="50" t="s">
        <v>136</v>
      </c>
      <c r="F30" s="222">
        <v>0</v>
      </c>
      <c r="G30" s="222">
        <v>0</v>
      </c>
      <c r="H30" s="222">
        <v>0</v>
      </c>
      <c r="I30" s="222">
        <v>0</v>
      </c>
      <c r="J30" s="222">
        <v>0</v>
      </c>
      <c r="K30" s="473" t="s">
        <v>301</v>
      </c>
      <c r="L30" s="489"/>
      <c r="M30" s="4"/>
      <c r="N30" s="216" t="str">
        <f t="shared" si="0"/>
        <v>Flowline right of ways - Not by track</v>
      </c>
      <c r="O30" s="213" t="str">
        <f t="shared" si="0"/>
        <v>-</v>
      </c>
      <c r="P30" s="213" t="str">
        <f t="shared" si="1"/>
        <v>Flowline right of ways - Not by track</v>
      </c>
      <c r="Q30" s="214">
        <v>1</v>
      </c>
      <c r="R30" s="215" t="str">
        <f t="shared" si="2"/>
        <v>km</v>
      </c>
    </row>
    <row r="31" spans="1:45" s="14" customFormat="1" outlineLevel="1" x14ac:dyDescent="0.2">
      <c r="A31" s="4"/>
      <c r="B31" s="653" t="s">
        <v>66</v>
      </c>
      <c r="C31" s="641" t="s">
        <v>70</v>
      </c>
      <c r="D31" s="49" t="s">
        <v>103</v>
      </c>
      <c r="E31" s="50" t="s">
        <v>136</v>
      </c>
      <c r="F31" s="222">
        <v>0</v>
      </c>
      <c r="G31" s="222">
        <v>0</v>
      </c>
      <c r="H31" s="222">
        <v>0</v>
      </c>
      <c r="I31" s="222">
        <v>0</v>
      </c>
      <c r="J31" s="222">
        <v>0</v>
      </c>
      <c r="K31" s="611" t="s">
        <v>154</v>
      </c>
      <c r="L31" s="610"/>
      <c r="M31" s="4"/>
      <c r="N31" s="216" t="str">
        <f t="shared" si="0"/>
        <v>Access track (existing)</v>
      </c>
      <c r="O31" s="213" t="str">
        <f t="shared" si="0"/>
        <v>-</v>
      </c>
      <c r="P31" s="213" t="str">
        <f t="shared" si="1"/>
        <v/>
      </c>
      <c r="Q31" s="214"/>
      <c r="R31" s="215" t="str">
        <f t="shared" si="2"/>
        <v>km</v>
      </c>
    </row>
    <row r="32" spans="1:45" s="14" customFormat="1" outlineLevel="1" x14ac:dyDescent="0.2">
      <c r="A32" s="4"/>
      <c r="B32" s="653"/>
      <c r="C32" s="641"/>
      <c r="D32" s="49" t="s">
        <v>153</v>
      </c>
      <c r="E32" s="50" t="s">
        <v>79</v>
      </c>
      <c r="F32" s="222">
        <v>0</v>
      </c>
      <c r="G32" s="222">
        <v>0</v>
      </c>
      <c r="H32" s="222">
        <v>0</v>
      </c>
      <c r="I32" s="222">
        <v>0</v>
      </c>
      <c r="J32" s="222">
        <v>0</v>
      </c>
      <c r="K32" s="611"/>
      <c r="L32" s="610"/>
      <c r="M32" s="4"/>
      <c r="N32" s="212" t="str">
        <f t="shared" si="0"/>
        <v>Access track (existing)</v>
      </c>
      <c r="O32" s="213" t="str">
        <f t="shared" si="0"/>
        <v>-</v>
      </c>
      <c r="P32" s="213" t="str">
        <f t="shared" si="1"/>
        <v/>
      </c>
      <c r="Q32" s="214"/>
      <c r="R32" s="215" t="str">
        <f t="shared" si="2"/>
        <v>m</v>
      </c>
    </row>
    <row r="33" spans="1:18" s="14" customFormat="1" outlineLevel="1" x14ac:dyDescent="0.2">
      <c r="A33" s="4"/>
      <c r="B33" s="653"/>
      <c r="C33" s="641"/>
      <c r="D33" s="49" t="s">
        <v>155</v>
      </c>
      <c r="E33" s="50" t="s">
        <v>64</v>
      </c>
      <c r="F33" s="221">
        <f>((F31*1000)*F32)/10000</f>
        <v>0</v>
      </c>
      <c r="G33" s="221">
        <f>((G31*1000)*G32)/10000</f>
        <v>0</v>
      </c>
      <c r="H33" s="221">
        <f>((H31*1000)*H32)/10000</f>
        <v>0</v>
      </c>
      <c r="I33" s="221">
        <f>((I31*1000)*I32)/10000</f>
        <v>0</v>
      </c>
      <c r="J33" s="221">
        <f>((J31*1000)*J32)/10000</f>
        <v>0</v>
      </c>
      <c r="K33" s="611"/>
      <c r="L33" s="610"/>
      <c r="M33" s="4"/>
      <c r="N33" s="216" t="str">
        <f t="shared" si="0"/>
        <v>Access track (existing)</v>
      </c>
      <c r="O33" s="213" t="str">
        <f t="shared" si="0"/>
        <v>-</v>
      </c>
      <c r="P33" s="213" t="str">
        <f t="shared" si="1"/>
        <v>Access track (existing)</v>
      </c>
      <c r="Q33" s="214">
        <v>1</v>
      </c>
      <c r="R33" s="215" t="str">
        <f t="shared" si="2"/>
        <v>ha</v>
      </c>
    </row>
    <row r="34" spans="1:18" s="14" customFormat="1" outlineLevel="1" x14ac:dyDescent="0.2">
      <c r="A34" s="4"/>
      <c r="B34" s="653" t="s">
        <v>68</v>
      </c>
      <c r="C34" s="641" t="s">
        <v>235</v>
      </c>
      <c r="D34" s="49" t="s">
        <v>103</v>
      </c>
      <c r="E34" s="50" t="s">
        <v>136</v>
      </c>
      <c r="F34" s="222">
        <v>0</v>
      </c>
      <c r="G34" s="222">
        <v>0</v>
      </c>
      <c r="H34" s="222">
        <v>0</v>
      </c>
      <c r="I34" s="222">
        <v>0</v>
      </c>
      <c r="J34" s="222">
        <v>0</v>
      </c>
      <c r="K34" s="611" t="s">
        <v>156</v>
      </c>
      <c r="L34" s="610"/>
      <c r="M34" s="4"/>
      <c r="N34" s="216" t="str">
        <f t="shared" si="0"/>
        <v>Access track (new)</v>
      </c>
      <c r="O34" s="213" t="str">
        <f t="shared" si="0"/>
        <v>No seeding</v>
      </c>
      <c r="P34" s="213" t="str">
        <f t="shared" si="1"/>
        <v/>
      </c>
      <c r="Q34" s="214"/>
      <c r="R34" s="215" t="str">
        <f t="shared" si="2"/>
        <v>km</v>
      </c>
    </row>
    <row r="35" spans="1:18" s="14" customFormat="1" outlineLevel="1" x14ac:dyDescent="0.2">
      <c r="A35" s="4"/>
      <c r="B35" s="653"/>
      <c r="C35" s="641"/>
      <c r="D35" s="49" t="s">
        <v>153</v>
      </c>
      <c r="E35" s="50" t="s">
        <v>79</v>
      </c>
      <c r="F35" s="222">
        <v>0</v>
      </c>
      <c r="G35" s="222">
        <v>0</v>
      </c>
      <c r="H35" s="222">
        <v>0</v>
      </c>
      <c r="I35" s="222">
        <v>0</v>
      </c>
      <c r="J35" s="222">
        <v>0</v>
      </c>
      <c r="K35" s="611"/>
      <c r="L35" s="610"/>
      <c r="M35" s="4"/>
      <c r="N35" s="212" t="str">
        <f t="shared" si="0"/>
        <v>Access track (new)</v>
      </c>
      <c r="O35" s="213" t="str">
        <f t="shared" si="0"/>
        <v>No seeding</v>
      </c>
      <c r="P35" s="213" t="str">
        <f t="shared" si="1"/>
        <v/>
      </c>
      <c r="Q35" s="214"/>
      <c r="R35" s="215" t="str">
        <f t="shared" si="2"/>
        <v>m</v>
      </c>
    </row>
    <row r="36" spans="1:18" s="14" customFormat="1" outlineLevel="1" x14ac:dyDescent="0.2">
      <c r="A36" s="4"/>
      <c r="B36" s="653"/>
      <c r="C36" s="641"/>
      <c r="D36" s="49" t="s">
        <v>155</v>
      </c>
      <c r="E36" s="50" t="s">
        <v>64</v>
      </c>
      <c r="F36" s="221">
        <f>((F34*1000)*F35)/10000</f>
        <v>0</v>
      </c>
      <c r="G36" s="221">
        <f>((G34*1000)*G35)/10000</f>
        <v>0</v>
      </c>
      <c r="H36" s="221">
        <f>((H34*1000)*H35)/10000</f>
        <v>0</v>
      </c>
      <c r="I36" s="221">
        <f>((I34*1000)*I35)/10000</f>
        <v>0</v>
      </c>
      <c r="J36" s="221">
        <f>((J34*1000)*J35)/10000</f>
        <v>0</v>
      </c>
      <c r="K36" s="611"/>
      <c r="L36" s="610"/>
      <c r="M36" s="4"/>
      <c r="N36" s="216" t="str">
        <f t="shared" si="0"/>
        <v>Access track (new)</v>
      </c>
      <c r="O36" s="213" t="str">
        <f t="shared" si="0"/>
        <v>No seeding</v>
      </c>
      <c r="P36" s="213" t="str">
        <f t="shared" si="1"/>
        <v>Access track (new) - No seeding</v>
      </c>
      <c r="Q36" s="214">
        <v>1</v>
      </c>
      <c r="R36" s="215" t="str">
        <f t="shared" si="2"/>
        <v>ha</v>
      </c>
    </row>
    <row r="37" spans="1:18" s="14" customFormat="1" outlineLevel="1" x14ac:dyDescent="0.2">
      <c r="A37" s="4"/>
      <c r="B37" s="653" t="s">
        <v>68</v>
      </c>
      <c r="C37" s="641" t="s">
        <v>234</v>
      </c>
      <c r="D37" s="49" t="s">
        <v>103</v>
      </c>
      <c r="E37" s="50" t="s">
        <v>136</v>
      </c>
      <c r="F37" s="222">
        <v>0</v>
      </c>
      <c r="G37" s="222">
        <v>0</v>
      </c>
      <c r="H37" s="222">
        <v>0</v>
      </c>
      <c r="I37" s="222">
        <v>0</v>
      </c>
      <c r="J37" s="222">
        <v>0</v>
      </c>
      <c r="K37" s="611" t="s">
        <v>156</v>
      </c>
      <c r="L37" s="610"/>
      <c r="M37" s="4"/>
      <c r="N37" s="216" t="str">
        <f t="shared" si="0"/>
        <v>Access track (new)</v>
      </c>
      <c r="O37" s="213" t="str">
        <f t="shared" si="0"/>
        <v>With seeding</v>
      </c>
      <c r="P37" s="213" t="str">
        <f t="shared" si="1"/>
        <v/>
      </c>
      <c r="Q37" s="214"/>
      <c r="R37" s="215" t="str">
        <f t="shared" si="2"/>
        <v>km</v>
      </c>
    </row>
    <row r="38" spans="1:18" s="14" customFormat="1" outlineLevel="1" x14ac:dyDescent="0.2">
      <c r="A38" s="4"/>
      <c r="B38" s="653"/>
      <c r="C38" s="641"/>
      <c r="D38" s="49" t="s">
        <v>153</v>
      </c>
      <c r="E38" s="50" t="s">
        <v>79</v>
      </c>
      <c r="F38" s="222">
        <v>0</v>
      </c>
      <c r="G38" s="222">
        <v>0</v>
      </c>
      <c r="H38" s="222">
        <v>0</v>
      </c>
      <c r="I38" s="222">
        <v>0</v>
      </c>
      <c r="J38" s="222">
        <v>0</v>
      </c>
      <c r="K38" s="611"/>
      <c r="L38" s="610"/>
      <c r="M38" s="4"/>
      <c r="N38" s="216" t="str">
        <f t="shared" si="0"/>
        <v>Access track (new)</v>
      </c>
      <c r="O38" s="213" t="str">
        <f t="shared" si="0"/>
        <v>With seeding</v>
      </c>
      <c r="P38" s="213" t="str">
        <f t="shared" si="1"/>
        <v/>
      </c>
      <c r="Q38" s="214"/>
      <c r="R38" s="215" t="str">
        <f t="shared" si="2"/>
        <v>m</v>
      </c>
    </row>
    <row r="39" spans="1:18" s="14" customFormat="1" outlineLevel="1" x14ac:dyDescent="0.2">
      <c r="A39" s="4"/>
      <c r="B39" s="653"/>
      <c r="C39" s="641"/>
      <c r="D39" s="49" t="s">
        <v>155</v>
      </c>
      <c r="E39" s="50" t="s">
        <v>64</v>
      </c>
      <c r="F39" s="221">
        <f t="shared" ref="F39:J39" si="3">((F37*1000)*F38)/10000</f>
        <v>0</v>
      </c>
      <c r="G39" s="221">
        <f t="shared" si="3"/>
        <v>0</v>
      </c>
      <c r="H39" s="221">
        <f t="shared" si="3"/>
        <v>0</v>
      </c>
      <c r="I39" s="221">
        <f t="shared" si="3"/>
        <v>0</v>
      </c>
      <c r="J39" s="221">
        <f t="shared" si="3"/>
        <v>0</v>
      </c>
      <c r="K39" s="611"/>
      <c r="L39" s="610"/>
      <c r="M39" s="4"/>
      <c r="N39" s="216" t="str">
        <f t="shared" si="0"/>
        <v>Access track (new)</v>
      </c>
      <c r="O39" s="213" t="str">
        <f t="shared" si="0"/>
        <v>With seeding</v>
      </c>
      <c r="P39" s="213" t="str">
        <f t="shared" si="1"/>
        <v>Access track (new) - With seeding</v>
      </c>
      <c r="Q39" s="214">
        <v>1</v>
      </c>
      <c r="R39" s="215" t="str">
        <f t="shared" si="2"/>
        <v>ha</v>
      </c>
    </row>
    <row r="40" spans="1:18" s="14" customFormat="1" outlineLevel="1" x14ac:dyDescent="0.2">
      <c r="A40" s="4"/>
      <c r="B40" s="643" t="s">
        <v>223</v>
      </c>
      <c r="C40" s="646" t="s">
        <v>225</v>
      </c>
      <c r="D40" s="49" t="s">
        <v>103</v>
      </c>
      <c r="E40" s="50" t="s">
        <v>79</v>
      </c>
      <c r="F40" s="222">
        <v>0</v>
      </c>
      <c r="G40" s="222">
        <v>0</v>
      </c>
      <c r="H40" s="222">
        <v>0</v>
      </c>
      <c r="I40" s="222">
        <v>0</v>
      </c>
      <c r="J40" s="222">
        <v>0</v>
      </c>
      <c r="K40" s="615" t="s">
        <v>228</v>
      </c>
      <c r="L40" s="612"/>
      <c r="M40" s="4"/>
      <c r="N40" s="216" t="str">
        <f t="shared" si="0"/>
        <v>Laydown areas</v>
      </c>
      <c r="O40" s="213" t="str">
        <f t="shared" si="0"/>
        <v>With seeding, with ripping</v>
      </c>
      <c r="P40" s="213" t="str">
        <f t="shared" si="1"/>
        <v/>
      </c>
      <c r="Q40" s="214"/>
      <c r="R40" s="215" t="str">
        <f t="shared" si="2"/>
        <v>m</v>
      </c>
    </row>
    <row r="41" spans="1:18" s="14" customFormat="1" outlineLevel="1" x14ac:dyDescent="0.2">
      <c r="A41" s="4"/>
      <c r="B41" s="644"/>
      <c r="C41" s="647"/>
      <c r="D41" s="49" t="s">
        <v>153</v>
      </c>
      <c r="E41" s="50" t="s">
        <v>79</v>
      </c>
      <c r="F41" s="222">
        <v>0</v>
      </c>
      <c r="G41" s="222">
        <v>0</v>
      </c>
      <c r="H41" s="222">
        <v>0</v>
      </c>
      <c r="I41" s="222">
        <v>0</v>
      </c>
      <c r="J41" s="222">
        <v>0</v>
      </c>
      <c r="K41" s="616"/>
      <c r="L41" s="613"/>
      <c r="M41" s="4"/>
      <c r="N41" s="216" t="str">
        <f t="shared" si="0"/>
        <v>Laydown areas</v>
      </c>
      <c r="O41" s="213" t="str">
        <f t="shared" si="0"/>
        <v>With seeding, with ripping</v>
      </c>
      <c r="P41" s="213" t="str">
        <f t="shared" si="1"/>
        <v/>
      </c>
      <c r="Q41" s="214"/>
      <c r="R41" s="215" t="str">
        <f t="shared" si="2"/>
        <v>m</v>
      </c>
    </row>
    <row r="42" spans="1:18" s="14" customFormat="1" outlineLevel="1" x14ac:dyDescent="0.2">
      <c r="A42" s="4"/>
      <c r="B42" s="645"/>
      <c r="C42" s="648"/>
      <c r="D42" s="49" t="s">
        <v>155</v>
      </c>
      <c r="E42" s="50" t="s">
        <v>64</v>
      </c>
      <c r="F42" s="221">
        <f>(F40*F41)/10^4</f>
        <v>0</v>
      </c>
      <c r="G42" s="221">
        <f t="shared" ref="G42:J42" si="4">(G40*G41)/10^4</f>
        <v>0</v>
      </c>
      <c r="H42" s="221">
        <f t="shared" si="4"/>
        <v>0</v>
      </c>
      <c r="I42" s="221">
        <f t="shared" si="4"/>
        <v>0</v>
      </c>
      <c r="J42" s="221">
        <f t="shared" si="4"/>
        <v>0</v>
      </c>
      <c r="K42" s="617"/>
      <c r="L42" s="614"/>
      <c r="M42" s="4"/>
      <c r="N42" s="216" t="str">
        <f t="shared" ref="N42:O57" si="5">IF(B42="",N41,B42)</f>
        <v>Laydown areas</v>
      </c>
      <c r="O42" s="213" t="str">
        <f t="shared" si="5"/>
        <v>With seeding, with ripping</v>
      </c>
      <c r="P42" s="213" t="str">
        <f t="shared" si="1"/>
        <v>Laydown areas - With seeding, with ripping</v>
      </c>
      <c r="Q42" s="214">
        <v>1</v>
      </c>
      <c r="R42" s="215" t="str">
        <f t="shared" si="2"/>
        <v>ha</v>
      </c>
    </row>
    <row r="43" spans="1:18" s="14" customFormat="1" outlineLevel="1" x14ac:dyDescent="0.2">
      <c r="A43" s="4"/>
      <c r="B43" s="643" t="s">
        <v>223</v>
      </c>
      <c r="C43" s="646" t="s">
        <v>224</v>
      </c>
      <c r="D43" s="49" t="s">
        <v>103</v>
      </c>
      <c r="E43" s="50" t="s">
        <v>79</v>
      </c>
      <c r="F43" s="222">
        <v>0</v>
      </c>
      <c r="G43" s="222">
        <v>0</v>
      </c>
      <c r="H43" s="222">
        <v>0</v>
      </c>
      <c r="I43" s="222">
        <v>0</v>
      </c>
      <c r="J43" s="222">
        <v>0</v>
      </c>
      <c r="K43" s="615" t="s">
        <v>228</v>
      </c>
      <c r="L43" s="612"/>
      <c r="M43" s="4"/>
      <c r="N43" s="216" t="str">
        <f t="shared" si="5"/>
        <v>Laydown areas</v>
      </c>
      <c r="O43" s="213" t="str">
        <f t="shared" si="5"/>
        <v>With seeding, no ripping</v>
      </c>
      <c r="P43" s="213" t="str">
        <f t="shared" si="1"/>
        <v/>
      </c>
      <c r="Q43" s="214"/>
      <c r="R43" s="215" t="str">
        <f t="shared" si="2"/>
        <v>m</v>
      </c>
    </row>
    <row r="44" spans="1:18" s="14" customFormat="1" outlineLevel="1" x14ac:dyDescent="0.2">
      <c r="A44" s="4"/>
      <c r="B44" s="644"/>
      <c r="C44" s="647"/>
      <c r="D44" s="49" t="s">
        <v>153</v>
      </c>
      <c r="E44" s="50" t="s">
        <v>79</v>
      </c>
      <c r="F44" s="222">
        <v>0</v>
      </c>
      <c r="G44" s="222">
        <v>0</v>
      </c>
      <c r="H44" s="222">
        <v>0</v>
      </c>
      <c r="I44" s="222">
        <v>0</v>
      </c>
      <c r="J44" s="222">
        <v>0</v>
      </c>
      <c r="K44" s="616"/>
      <c r="L44" s="613"/>
      <c r="M44" s="4"/>
      <c r="N44" s="216" t="str">
        <f t="shared" si="5"/>
        <v>Laydown areas</v>
      </c>
      <c r="O44" s="213" t="str">
        <f t="shared" si="5"/>
        <v>With seeding, no ripping</v>
      </c>
      <c r="P44" s="213" t="str">
        <f t="shared" si="1"/>
        <v/>
      </c>
      <c r="Q44" s="214"/>
      <c r="R44" s="215" t="str">
        <f t="shared" si="2"/>
        <v>m</v>
      </c>
    </row>
    <row r="45" spans="1:18" s="14" customFormat="1" outlineLevel="1" x14ac:dyDescent="0.2">
      <c r="A45" s="4"/>
      <c r="B45" s="645"/>
      <c r="C45" s="648"/>
      <c r="D45" s="49" t="s">
        <v>155</v>
      </c>
      <c r="E45" s="50" t="s">
        <v>64</v>
      </c>
      <c r="F45" s="221">
        <f>(F43*F44)/10^4</f>
        <v>0</v>
      </c>
      <c r="G45" s="221">
        <f t="shared" ref="G45:J45" si="6">(G43*G44)/10^4</f>
        <v>0</v>
      </c>
      <c r="H45" s="221">
        <f t="shared" si="6"/>
        <v>0</v>
      </c>
      <c r="I45" s="221">
        <f t="shared" si="6"/>
        <v>0</v>
      </c>
      <c r="J45" s="221">
        <f t="shared" si="6"/>
        <v>0</v>
      </c>
      <c r="K45" s="617"/>
      <c r="L45" s="614"/>
      <c r="M45" s="4"/>
      <c r="N45" s="216" t="str">
        <f t="shared" si="5"/>
        <v>Laydown areas</v>
      </c>
      <c r="O45" s="213" t="str">
        <f t="shared" si="5"/>
        <v>With seeding, no ripping</v>
      </c>
      <c r="P45" s="213" t="str">
        <f t="shared" si="1"/>
        <v>Laydown areas - With seeding, no ripping</v>
      </c>
      <c r="Q45" s="214">
        <v>1</v>
      </c>
      <c r="R45" s="215" t="str">
        <f t="shared" si="2"/>
        <v>ha</v>
      </c>
    </row>
    <row r="46" spans="1:18" s="14" customFormat="1" outlineLevel="1" x14ac:dyDescent="0.2">
      <c r="A46" s="4"/>
      <c r="B46" s="643" t="s">
        <v>223</v>
      </c>
      <c r="C46" s="646" t="s">
        <v>226</v>
      </c>
      <c r="D46" s="49" t="s">
        <v>103</v>
      </c>
      <c r="E46" s="50" t="s">
        <v>79</v>
      </c>
      <c r="F46" s="222">
        <v>0</v>
      </c>
      <c r="G46" s="222">
        <v>0</v>
      </c>
      <c r="H46" s="222">
        <v>0</v>
      </c>
      <c r="I46" s="222">
        <v>0</v>
      </c>
      <c r="J46" s="222">
        <v>0</v>
      </c>
      <c r="K46" s="615" t="s">
        <v>228</v>
      </c>
      <c r="L46" s="612"/>
      <c r="M46" s="4"/>
      <c r="N46" s="216" t="str">
        <f t="shared" si="5"/>
        <v>Laydown areas</v>
      </c>
      <c r="O46" s="213" t="str">
        <f t="shared" si="5"/>
        <v>No seeding, with ripping</v>
      </c>
      <c r="P46" s="213" t="str">
        <f t="shared" si="1"/>
        <v/>
      </c>
      <c r="Q46" s="214"/>
      <c r="R46" s="215" t="str">
        <f t="shared" si="2"/>
        <v>m</v>
      </c>
    </row>
    <row r="47" spans="1:18" s="14" customFormat="1" outlineLevel="1" x14ac:dyDescent="0.2">
      <c r="A47" s="4"/>
      <c r="B47" s="644"/>
      <c r="C47" s="647"/>
      <c r="D47" s="49" t="s">
        <v>153</v>
      </c>
      <c r="E47" s="50" t="s">
        <v>79</v>
      </c>
      <c r="F47" s="222">
        <v>0</v>
      </c>
      <c r="G47" s="222">
        <v>0</v>
      </c>
      <c r="H47" s="222">
        <v>0</v>
      </c>
      <c r="I47" s="222">
        <v>0</v>
      </c>
      <c r="J47" s="222">
        <v>0</v>
      </c>
      <c r="K47" s="616"/>
      <c r="L47" s="613"/>
      <c r="M47" s="4"/>
      <c r="N47" s="216" t="str">
        <f t="shared" si="5"/>
        <v>Laydown areas</v>
      </c>
      <c r="O47" s="213" t="str">
        <f t="shared" si="5"/>
        <v>No seeding, with ripping</v>
      </c>
      <c r="P47" s="213" t="str">
        <f t="shared" si="1"/>
        <v/>
      </c>
      <c r="Q47" s="214"/>
      <c r="R47" s="215" t="str">
        <f t="shared" si="2"/>
        <v>m</v>
      </c>
    </row>
    <row r="48" spans="1:18" s="14" customFormat="1" outlineLevel="1" x14ac:dyDescent="0.2">
      <c r="A48" s="4"/>
      <c r="B48" s="645"/>
      <c r="C48" s="648"/>
      <c r="D48" s="49" t="s">
        <v>155</v>
      </c>
      <c r="E48" s="50" t="s">
        <v>64</v>
      </c>
      <c r="F48" s="221">
        <f>(F46*F47)/10^4</f>
        <v>0</v>
      </c>
      <c r="G48" s="221">
        <f t="shared" ref="G48:J48" si="7">(G46*G47)/10^4</f>
        <v>0</v>
      </c>
      <c r="H48" s="221">
        <f t="shared" si="7"/>
        <v>0</v>
      </c>
      <c r="I48" s="221">
        <f t="shared" si="7"/>
        <v>0</v>
      </c>
      <c r="J48" s="221">
        <f t="shared" si="7"/>
        <v>0</v>
      </c>
      <c r="K48" s="617"/>
      <c r="L48" s="614"/>
      <c r="M48" s="4"/>
      <c r="N48" s="216" t="str">
        <f t="shared" si="5"/>
        <v>Laydown areas</v>
      </c>
      <c r="O48" s="213" t="str">
        <f t="shared" si="5"/>
        <v>No seeding, with ripping</v>
      </c>
      <c r="P48" s="213" t="str">
        <f t="shared" si="1"/>
        <v>Laydown areas - No seeding, with ripping</v>
      </c>
      <c r="Q48" s="214">
        <v>1</v>
      </c>
      <c r="R48" s="215" t="str">
        <f t="shared" si="2"/>
        <v>ha</v>
      </c>
    </row>
    <row r="49" spans="1:18" s="14" customFormat="1" outlineLevel="1" x14ac:dyDescent="0.2">
      <c r="A49" s="4"/>
      <c r="B49" s="643" t="s">
        <v>223</v>
      </c>
      <c r="C49" s="646" t="s">
        <v>227</v>
      </c>
      <c r="D49" s="49" t="s">
        <v>103</v>
      </c>
      <c r="E49" s="50" t="s">
        <v>79</v>
      </c>
      <c r="F49" s="222">
        <v>0</v>
      </c>
      <c r="G49" s="222">
        <v>0</v>
      </c>
      <c r="H49" s="222">
        <v>0</v>
      </c>
      <c r="I49" s="222">
        <v>0</v>
      </c>
      <c r="J49" s="222">
        <v>0</v>
      </c>
      <c r="K49" s="615" t="s">
        <v>228</v>
      </c>
      <c r="L49" s="612"/>
      <c r="M49" s="4"/>
      <c r="N49" s="216" t="str">
        <f t="shared" si="5"/>
        <v>Laydown areas</v>
      </c>
      <c r="O49" s="213" t="str">
        <f t="shared" si="5"/>
        <v>No seeding, no ripping</v>
      </c>
      <c r="P49" s="213" t="str">
        <f t="shared" si="1"/>
        <v/>
      </c>
      <c r="Q49" s="214"/>
      <c r="R49" s="215" t="str">
        <f t="shared" si="2"/>
        <v>m</v>
      </c>
    </row>
    <row r="50" spans="1:18" s="14" customFormat="1" outlineLevel="1" x14ac:dyDescent="0.2">
      <c r="A50" s="4"/>
      <c r="B50" s="644"/>
      <c r="C50" s="647"/>
      <c r="D50" s="49" t="s">
        <v>153</v>
      </c>
      <c r="E50" s="50" t="s">
        <v>79</v>
      </c>
      <c r="F50" s="222">
        <v>0</v>
      </c>
      <c r="G50" s="222">
        <v>0</v>
      </c>
      <c r="H50" s="222">
        <v>0</v>
      </c>
      <c r="I50" s="222">
        <v>0</v>
      </c>
      <c r="J50" s="222">
        <v>0</v>
      </c>
      <c r="K50" s="616"/>
      <c r="L50" s="613"/>
      <c r="M50" s="4"/>
      <c r="N50" s="216" t="str">
        <f t="shared" si="5"/>
        <v>Laydown areas</v>
      </c>
      <c r="O50" s="213" t="str">
        <f t="shared" si="5"/>
        <v>No seeding, no ripping</v>
      </c>
      <c r="P50" s="213" t="str">
        <f t="shared" si="1"/>
        <v/>
      </c>
      <c r="Q50" s="214"/>
      <c r="R50" s="215" t="str">
        <f t="shared" si="2"/>
        <v>m</v>
      </c>
    </row>
    <row r="51" spans="1:18" s="14" customFormat="1" outlineLevel="1" x14ac:dyDescent="0.2">
      <c r="A51" s="4"/>
      <c r="B51" s="645"/>
      <c r="C51" s="648"/>
      <c r="D51" s="49" t="s">
        <v>155</v>
      </c>
      <c r="E51" s="50" t="s">
        <v>64</v>
      </c>
      <c r="F51" s="221">
        <f>(F49*F50)/10^4</f>
        <v>0</v>
      </c>
      <c r="G51" s="221">
        <f t="shared" ref="G51:J51" si="8">(G49*G50)/10^4</f>
        <v>0</v>
      </c>
      <c r="H51" s="221">
        <f t="shared" si="8"/>
        <v>0</v>
      </c>
      <c r="I51" s="221">
        <f t="shared" si="8"/>
        <v>0</v>
      </c>
      <c r="J51" s="221">
        <f t="shared" si="8"/>
        <v>0</v>
      </c>
      <c r="K51" s="617"/>
      <c r="L51" s="614"/>
      <c r="M51" s="4"/>
      <c r="N51" s="216" t="str">
        <f t="shared" si="5"/>
        <v>Laydown areas</v>
      </c>
      <c r="O51" s="213" t="str">
        <f t="shared" si="5"/>
        <v>No seeding, no ripping</v>
      </c>
      <c r="P51" s="213" t="str">
        <f t="shared" si="1"/>
        <v>Laydown areas - No seeding, no ripping</v>
      </c>
      <c r="Q51" s="214">
        <v>1</v>
      </c>
      <c r="R51" s="215" t="str">
        <f t="shared" si="2"/>
        <v>ha</v>
      </c>
    </row>
    <row r="52" spans="1:18" s="14" customFormat="1" outlineLevel="1" x14ac:dyDescent="0.2">
      <c r="A52" s="4"/>
      <c r="B52" s="653" t="s">
        <v>69</v>
      </c>
      <c r="C52" s="641" t="s">
        <v>70</v>
      </c>
      <c r="D52" s="49" t="s">
        <v>85</v>
      </c>
      <c r="E52" s="50" t="s">
        <v>82</v>
      </c>
      <c r="F52" s="222">
        <v>0</v>
      </c>
      <c r="G52" s="222">
        <v>0</v>
      </c>
      <c r="H52" s="222">
        <v>0</v>
      </c>
      <c r="I52" s="222">
        <v>0</v>
      </c>
      <c r="J52" s="222">
        <v>0</v>
      </c>
      <c r="K52" s="611" t="s">
        <v>305</v>
      </c>
      <c r="L52" s="610"/>
      <c r="M52" s="4"/>
      <c r="N52" s="212" t="str">
        <f t="shared" si="5"/>
        <v>Gravel pits</v>
      </c>
      <c r="O52" s="213" t="str">
        <f t="shared" si="5"/>
        <v>-</v>
      </c>
      <c r="P52" s="213" t="str">
        <f t="shared" si="1"/>
        <v/>
      </c>
      <c r="Q52" s="214"/>
      <c r="R52" s="215" t="str">
        <f t="shared" si="2"/>
        <v>#</v>
      </c>
    </row>
    <row r="53" spans="1:18" s="14" customFormat="1" outlineLevel="1" x14ac:dyDescent="0.2">
      <c r="A53" s="4"/>
      <c r="B53" s="653"/>
      <c r="C53" s="641"/>
      <c r="D53" s="49" t="s">
        <v>103</v>
      </c>
      <c r="E53" s="50" t="s">
        <v>79</v>
      </c>
      <c r="F53" s="222">
        <v>0</v>
      </c>
      <c r="G53" s="222">
        <v>0</v>
      </c>
      <c r="H53" s="222">
        <v>0</v>
      </c>
      <c r="I53" s="222">
        <v>0</v>
      </c>
      <c r="J53" s="222">
        <v>0</v>
      </c>
      <c r="K53" s="611"/>
      <c r="L53" s="610"/>
      <c r="M53" s="4"/>
      <c r="N53" s="212" t="str">
        <f t="shared" si="5"/>
        <v>Gravel pits</v>
      </c>
      <c r="O53" s="213" t="str">
        <f t="shared" si="5"/>
        <v>-</v>
      </c>
      <c r="P53" s="213" t="str">
        <f t="shared" si="1"/>
        <v/>
      </c>
      <c r="Q53" s="214"/>
      <c r="R53" s="215" t="str">
        <f t="shared" si="2"/>
        <v>m</v>
      </c>
    </row>
    <row r="54" spans="1:18" s="14" customFormat="1" outlineLevel="1" x14ac:dyDescent="0.2">
      <c r="A54" s="4"/>
      <c r="B54" s="653"/>
      <c r="C54" s="641"/>
      <c r="D54" s="49" t="s">
        <v>153</v>
      </c>
      <c r="E54" s="50" t="s">
        <v>79</v>
      </c>
      <c r="F54" s="222">
        <v>0</v>
      </c>
      <c r="G54" s="222">
        <v>0</v>
      </c>
      <c r="H54" s="222">
        <v>0</v>
      </c>
      <c r="I54" s="222">
        <v>0</v>
      </c>
      <c r="J54" s="222">
        <v>0</v>
      </c>
      <c r="K54" s="611"/>
      <c r="L54" s="610"/>
      <c r="M54" s="4"/>
      <c r="N54" s="216" t="str">
        <f t="shared" si="5"/>
        <v>Gravel pits</v>
      </c>
      <c r="O54" s="213" t="str">
        <f t="shared" si="5"/>
        <v>-</v>
      </c>
      <c r="P54" s="213" t="str">
        <f t="shared" si="1"/>
        <v/>
      </c>
      <c r="Q54" s="214"/>
      <c r="R54" s="215" t="str">
        <f t="shared" si="2"/>
        <v>m</v>
      </c>
    </row>
    <row r="55" spans="1:18" s="14" customFormat="1" outlineLevel="1" x14ac:dyDescent="0.2">
      <c r="A55" s="4"/>
      <c r="B55" s="653"/>
      <c r="C55" s="641"/>
      <c r="D55" s="49" t="s">
        <v>73</v>
      </c>
      <c r="E55" s="50" t="s">
        <v>64</v>
      </c>
      <c r="F55" s="221">
        <f>(F53*F54*F52)/10^4</f>
        <v>0</v>
      </c>
      <c r="G55" s="221">
        <f t="shared" ref="G55:J55" si="9">(G53*G54*G52)/10^4</f>
        <v>0</v>
      </c>
      <c r="H55" s="221">
        <f t="shared" si="9"/>
        <v>0</v>
      </c>
      <c r="I55" s="221">
        <f t="shared" si="9"/>
        <v>0</v>
      </c>
      <c r="J55" s="221">
        <f t="shared" si="9"/>
        <v>0</v>
      </c>
      <c r="K55" s="611"/>
      <c r="L55" s="610"/>
      <c r="M55" s="4"/>
      <c r="N55" s="216" t="str">
        <f t="shared" si="5"/>
        <v>Gravel pits</v>
      </c>
      <c r="O55" s="213" t="str">
        <f t="shared" si="5"/>
        <v>-</v>
      </c>
      <c r="P55" s="213" t="str">
        <f t="shared" si="1"/>
        <v>Gravel pits</v>
      </c>
      <c r="Q55" s="214">
        <v>1</v>
      </c>
      <c r="R55" s="215" t="str">
        <f t="shared" si="2"/>
        <v>ha</v>
      </c>
    </row>
    <row r="56" spans="1:18" s="14" customFormat="1" outlineLevel="1" x14ac:dyDescent="0.2">
      <c r="A56" s="4"/>
      <c r="B56" s="653" t="s">
        <v>72</v>
      </c>
      <c r="C56" s="641" t="s">
        <v>70</v>
      </c>
      <c r="D56" s="49" t="s">
        <v>85</v>
      </c>
      <c r="E56" s="50" t="s">
        <v>82</v>
      </c>
      <c r="F56" s="222">
        <v>0</v>
      </c>
      <c r="G56" s="222">
        <v>0</v>
      </c>
      <c r="H56" s="222">
        <v>0</v>
      </c>
      <c r="I56" s="222">
        <v>0</v>
      </c>
      <c r="J56" s="222">
        <v>0</v>
      </c>
      <c r="K56" s="611" t="s">
        <v>158</v>
      </c>
      <c r="L56" s="610"/>
      <c r="M56" s="4"/>
      <c r="N56" s="216" t="str">
        <f t="shared" si="5"/>
        <v>Well pad</v>
      </c>
      <c r="O56" s="213" t="str">
        <f t="shared" si="5"/>
        <v>-</v>
      </c>
      <c r="P56" s="213" t="str">
        <f t="shared" si="1"/>
        <v/>
      </c>
      <c r="Q56" s="214"/>
      <c r="R56" s="215" t="str">
        <f t="shared" si="2"/>
        <v>#</v>
      </c>
    </row>
    <row r="57" spans="1:18" s="14" customFormat="1" outlineLevel="1" x14ac:dyDescent="0.2">
      <c r="A57" s="4"/>
      <c r="B57" s="653"/>
      <c r="C57" s="641"/>
      <c r="D57" s="49" t="s">
        <v>103</v>
      </c>
      <c r="E57" s="50" t="s">
        <v>79</v>
      </c>
      <c r="F57" s="222">
        <v>0</v>
      </c>
      <c r="G57" s="222">
        <v>0</v>
      </c>
      <c r="H57" s="222">
        <v>0</v>
      </c>
      <c r="I57" s="222">
        <v>0</v>
      </c>
      <c r="J57" s="222">
        <v>0</v>
      </c>
      <c r="K57" s="611"/>
      <c r="L57" s="610"/>
      <c r="M57" s="4"/>
      <c r="N57" s="216" t="str">
        <f t="shared" si="5"/>
        <v>Well pad</v>
      </c>
      <c r="O57" s="213" t="str">
        <f t="shared" si="5"/>
        <v>-</v>
      </c>
      <c r="P57" s="213" t="str">
        <f t="shared" si="1"/>
        <v/>
      </c>
      <c r="Q57" s="214"/>
      <c r="R57" s="215" t="str">
        <f t="shared" si="2"/>
        <v>m</v>
      </c>
    </row>
    <row r="58" spans="1:18" s="14" customFormat="1" outlineLevel="1" x14ac:dyDescent="0.2">
      <c r="A58" s="4"/>
      <c r="B58" s="653"/>
      <c r="C58" s="641"/>
      <c r="D58" s="49" t="s">
        <v>153</v>
      </c>
      <c r="E58" s="50" t="s">
        <v>79</v>
      </c>
      <c r="F58" s="222">
        <v>0</v>
      </c>
      <c r="G58" s="222">
        <v>0</v>
      </c>
      <c r="H58" s="222">
        <v>0</v>
      </c>
      <c r="I58" s="222">
        <v>0</v>
      </c>
      <c r="J58" s="222">
        <v>0</v>
      </c>
      <c r="K58" s="611"/>
      <c r="L58" s="610"/>
      <c r="M58" s="4"/>
      <c r="N58" s="216" t="str">
        <f t="shared" ref="N58:O73" si="10">IF(B58="",N57,B58)</f>
        <v>Well pad</v>
      </c>
      <c r="O58" s="213" t="str">
        <f t="shared" si="10"/>
        <v>-</v>
      </c>
      <c r="P58" s="213" t="str">
        <f t="shared" si="1"/>
        <v/>
      </c>
      <c r="Q58" s="214"/>
      <c r="R58" s="215" t="str">
        <f t="shared" si="2"/>
        <v>m</v>
      </c>
    </row>
    <row r="59" spans="1:18" s="14" customFormat="1" outlineLevel="1" x14ac:dyDescent="0.2">
      <c r="A59" s="4"/>
      <c r="B59" s="653"/>
      <c r="C59" s="641"/>
      <c r="D59" s="49" t="s">
        <v>73</v>
      </c>
      <c r="E59" s="50" t="s">
        <v>64</v>
      </c>
      <c r="F59" s="221">
        <f>(F57*F58*F56)/10^4</f>
        <v>0</v>
      </c>
      <c r="G59" s="221">
        <f t="shared" ref="G59:J59" si="11">(G57*G58*G56)/10^4</f>
        <v>0</v>
      </c>
      <c r="H59" s="221">
        <f t="shared" si="11"/>
        <v>0</v>
      </c>
      <c r="I59" s="221">
        <f t="shared" si="11"/>
        <v>0</v>
      </c>
      <c r="J59" s="221">
        <f t="shared" si="11"/>
        <v>0</v>
      </c>
      <c r="K59" s="611"/>
      <c r="L59" s="610"/>
      <c r="M59" s="4"/>
      <c r="N59" s="216" t="str">
        <f t="shared" si="10"/>
        <v>Well pad</v>
      </c>
      <c r="O59" s="213" t="str">
        <f>IF(C59="",O58,C59)</f>
        <v>-</v>
      </c>
      <c r="P59" s="213" t="str">
        <f t="shared" si="1"/>
        <v>Well pad</v>
      </c>
      <c r="Q59" s="214">
        <v>1</v>
      </c>
      <c r="R59" s="215" t="str">
        <f t="shared" si="2"/>
        <v>ha</v>
      </c>
    </row>
    <row r="60" spans="1:18" s="14" customFormat="1" outlineLevel="1" x14ac:dyDescent="0.2">
      <c r="A60" s="4"/>
      <c r="B60" s="642" t="s">
        <v>75</v>
      </c>
      <c r="C60" s="651" t="s">
        <v>234</v>
      </c>
      <c r="D60" s="49" t="s">
        <v>103</v>
      </c>
      <c r="E60" s="50" t="s">
        <v>79</v>
      </c>
      <c r="F60" s="222">
        <v>0</v>
      </c>
      <c r="G60" s="222">
        <v>0</v>
      </c>
      <c r="H60" s="222">
        <v>0</v>
      </c>
      <c r="I60" s="222">
        <v>0</v>
      </c>
      <c r="J60" s="222">
        <v>0</v>
      </c>
      <c r="K60" s="618" t="s">
        <v>315</v>
      </c>
      <c r="L60" s="610"/>
      <c r="M60" s="4"/>
      <c r="N60" s="216" t="str">
        <f t="shared" si="10"/>
        <v>Camp</v>
      </c>
      <c r="O60" s="213" t="str">
        <f t="shared" si="10"/>
        <v>With seeding</v>
      </c>
      <c r="P60" s="213" t="str">
        <f t="shared" si="1"/>
        <v/>
      </c>
      <c r="Q60" s="214"/>
      <c r="R60" s="215" t="str">
        <f t="shared" si="2"/>
        <v>m</v>
      </c>
    </row>
    <row r="61" spans="1:18" s="14" customFormat="1" outlineLevel="1" x14ac:dyDescent="0.2">
      <c r="A61" s="4"/>
      <c r="B61" s="642"/>
      <c r="C61" s="651"/>
      <c r="D61" s="49" t="s">
        <v>153</v>
      </c>
      <c r="E61" s="50" t="s">
        <v>79</v>
      </c>
      <c r="F61" s="222">
        <v>0</v>
      </c>
      <c r="G61" s="222">
        <v>0</v>
      </c>
      <c r="H61" s="222">
        <v>0</v>
      </c>
      <c r="I61" s="222">
        <v>0</v>
      </c>
      <c r="J61" s="222">
        <v>0</v>
      </c>
      <c r="K61" s="618"/>
      <c r="L61" s="610"/>
      <c r="M61" s="4"/>
      <c r="N61" s="216" t="str">
        <f t="shared" si="10"/>
        <v>Camp</v>
      </c>
      <c r="O61" s="213" t="str">
        <f t="shared" si="10"/>
        <v>With seeding</v>
      </c>
      <c r="P61" s="213" t="str">
        <f t="shared" si="1"/>
        <v/>
      </c>
      <c r="Q61" s="214"/>
      <c r="R61" s="215" t="str">
        <f t="shared" si="2"/>
        <v>m</v>
      </c>
    </row>
    <row r="62" spans="1:18" s="14" customFormat="1" outlineLevel="1" x14ac:dyDescent="0.2">
      <c r="A62" s="4"/>
      <c r="B62" s="642"/>
      <c r="C62" s="651"/>
      <c r="D62" s="49" t="s">
        <v>73</v>
      </c>
      <c r="E62" s="50" t="s">
        <v>64</v>
      </c>
      <c r="F62" s="221">
        <f>(F60*F61)/10^4</f>
        <v>0</v>
      </c>
      <c r="G62" s="221">
        <f t="shared" ref="G62:J62" si="12">(G60*G61)/10^4</f>
        <v>0</v>
      </c>
      <c r="H62" s="221">
        <f t="shared" si="12"/>
        <v>0</v>
      </c>
      <c r="I62" s="221">
        <f t="shared" si="12"/>
        <v>0</v>
      </c>
      <c r="J62" s="221">
        <f t="shared" si="12"/>
        <v>0</v>
      </c>
      <c r="K62" s="618"/>
      <c r="L62" s="610"/>
      <c r="M62" s="4"/>
      <c r="N62" s="216" t="str">
        <f t="shared" si="10"/>
        <v>Camp</v>
      </c>
      <c r="O62" s="213" t="str">
        <f t="shared" si="10"/>
        <v>With seeding</v>
      </c>
      <c r="P62" s="213" t="str">
        <f t="shared" si="1"/>
        <v>Camp - With seeding</v>
      </c>
      <c r="Q62" s="214">
        <v>1</v>
      </c>
      <c r="R62" s="215" t="str">
        <f t="shared" si="2"/>
        <v>ha</v>
      </c>
    </row>
    <row r="63" spans="1:18" s="14" customFormat="1" outlineLevel="1" x14ac:dyDescent="0.2">
      <c r="A63" s="4"/>
      <c r="B63" s="642" t="s">
        <v>75</v>
      </c>
      <c r="C63" s="651" t="s">
        <v>235</v>
      </c>
      <c r="D63" s="49" t="s">
        <v>103</v>
      </c>
      <c r="E63" s="50" t="s">
        <v>79</v>
      </c>
      <c r="F63" s="222">
        <v>0</v>
      </c>
      <c r="G63" s="222">
        <v>0</v>
      </c>
      <c r="H63" s="222">
        <v>0</v>
      </c>
      <c r="I63" s="222">
        <v>0</v>
      </c>
      <c r="J63" s="222">
        <v>0</v>
      </c>
      <c r="K63" s="618" t="s">
        <v>315</v>
      </c>
      <c r="L63" s="610"/>
      <c r="M63" s="4"/>
      <c r="N63" s="216" t="str">
        <f t="shared" si="10"/>
        <v>Camp</v>
      </c>
      <c r="O63" s="213" t="str">
        <f t="shared" si="10"/>
        <v>No seeding</v>
      </c>
      <c r="P63" s="213" t="str">
        <f t="shared" si="1"/>
        <v/>
      </c>
      <c r="Q63" s="214"/>
      <c r="R63" s="215" t="str">
        <f t="shared" si="2"/>
        <v>m</v>
      </c>
    </row>
    <row r="64" spans="1:18" s="14" customFormat="1" outlineLevel="1" x14ac:dyDescent="0.2">
      <c r="A64" s="4"/>
      <c r="B64" s="642"/>
      <c r="C64" s="651"/>
      <c r="D64" s="49" t="s">
        <v>153</v>
      </c>
      <c r="E64" s="50" t="s">
        <v>79</v>
      </c>
      <c r="F64" s="222">
        <v>0</v>
      </c>
      <c r="G64" s="222">
        <v>0</v>
      </c>
      <c r="H64" s="222">
        <v>0</v>
      </c>
      <c r="I64" s="222">
        <v>0</v>
      </c>
      <c r="J64" s="222">
        <v>0</v>
      </c>
      <c r="K64" s="618"/>
      <c r="L64" s="610"/>
      <c r="M64" s="4"/>
      <c r="N64" s="216" t="str">
        <f t="shared" si="10"/>
        <v>Camp</v>
      </c>
      <c r="O64" s="213" t="str">
        <f t="shared" si="10"/>
        <v>No seeding</v>
      </c>
      <c r="P64" s="213" t="str">
        <f t="shared" si="1"/>
        <v/>
      </c>
      <c r="Q64" s="214"/>
      <c r="R64" s="215" t="str">
        <f t="shared" si="2"/>
        <v>m</v>
      </c>
    </row>
    <row r="65" spans="1:24" s="14" customFormat="1" outlineLevel="1" x14ac:dyDescent="0.2">
      <c r="A65" s="4"/>
      <c r="B65" s="642"/>
      <c r="C65" s="651"/>
      <c r="D65" s="49" t="s">
        <v>73</v>
      </c>
      <c r="E65" s="50" t="s">
        <v>64</v>
      </c>
      <c r="F65" s="221">
        <f>(F63*F64)/10000</f>
        <v>0</v>
      </c>
      <c r="G65" s="221">
        <f>(G63*G64)/10000</f>
        <v>0</v>
      </c>
      <c r="H65" s="221">
        <f>(H63*H64)/10000</f>
        <v>0</v>
      </c>
      <c r="I65" s="221">
        <f>(I63*I64)/10000</f>
        <v>0</v>
      </c>
      <c r="J65" s="221">
        <f>(J63*J64)/10000</f>
        <v>0</v>
      </c>
      <c r="K65" s="618"/>
      <c r="L65" s="610"/>
      <c r="M65" s="4"/>
      <c r="N65" s="216" t="str">
        <f t="shared" si="10"/>
        <v>Camp</v>
      </c>
      <c r="O65" s="213" t="str">
        <f t="shared" si="10"/>
        <v>No seeding</v>
      </c>
      <c r="P65" s="213" t="str">
        <f t="shared" si="1"/>
        <v>Camp - No seeding</v>
      </c>
      <c r="Q65" s="214">
        <v>1</v>
      </c>
      <c r="R65" s="215" t="str">
        <f t="shared" si="2"/>
        <v>ha</v>
      </c>
    </row>
    <row r="66" spans="1:24" s="14" customFormat="1" ht="28.5" outlineLevel="1" x14ac:dyDescent="0.2">
      <c r="A66" s="157"/>
      <c r="B66" s="410" t="s">
        <v>76</v>
      </c>
      <c r="C66" s="411" t="s">
        <v>234</v>
      </c>
      <c r="D66" s="49" t="s">
        <v>73</v>
      </c>
      <c r="E66" s="50" t="s">
        <v>64</v>
      </c>
      <c r="F66" s="51">
        <v>0</v>
      </c>
      <c r="G66" s="51">
        <v>0</v>
      </c>
      <c r="H66" s="51">
        <v>0</v>
      </c>
      <c r="I66" s="51">
        <v>0</v>
      </c>
      <c r="J66" s="51">
        <v>0</v>
      </c>
      <c r="K66" s="487" t="s">
        <v>159</v>
      </c>
      <c r="L66" s="57"/>
      <c r="M66" s="157"/>
      <c r="N66" s="216" t="str">
        <f t="shared" si="10"/>
        <v>Miscellaneous clearing</v>
      </c>
      <c r="O66" s="213" t="str">
        <f t="shared" si="10"/>
        <v>With seeding</v>
      </c>
      <c r="P66" s="213" t="str">
        <f t="shared" si="1"/>
        <v>Miscellaneous clearing - With seeding</v>
      </c>
      <c r="Q66" s="214">
        <v>1</v>
      </c>
      <c r="R66" s="215" t="str">
        <f t="shared" si="2"/>
        <v>ha</v>
      </c>
    </row>
    <row r="67" spans="1:24" s="14" customFormat="1" ht="29.25" outlineLevel="1" thickBot="1" x14ac:dyDescent="0.25">
      <c r="A67" s="4"/>
      <c r="B67" s="412" t="s">
        <v>76</v>
      </c>
      <c r="C67" s="413" t="s">
        <v>235</v>
      </c>
      <c r="D67" s="52" t="s">
        <v>73</v>
      </c>
      <c r="E67" s="53" t="s">
        <v>64</v>
      </c>
      <c r="F67" s="54">
        <v>0</v>
      </c>
      <c r="G67" s="54">
        <v>0</v>
      </c>
      <c r="H67" s="54">
        <v>0</v>
      </c>
      <c r="I67" s="54">
        <v>0</v>
      </c>
      <c r="J67" s="54">
        <v>0</v>
      </c>
      <c r="K67" s="107" t="s">
        <v>159</v>
      </c>
      <c r="L67" s="59"/>
      <c r="M67" s="4"/>
      <c r="N67" s="217" t="str">
        <f t="shared" si="10"/>
        <v>Miscellaneous clearing</v>
      </c>
      <c r="O67" s="218" t="str">
        <f t="shared" si="10"/>
        <v>No seeding</v>
      </c>
      <c r="P67" s="218" t="str">
        <f t="shared" si="1"/>
        <v>Miscellaneous clearing - No seeding</v>
      </c>
      <c r="Q67" s="219">
        <v>1</v>
      </c>
      <c r="R67" s="220" t="str">
        <f t="shared" si="2"/>
        <v>ha</v>
      </c>
    </row>
    <row r="68" spans="1:24" ht="15" outlineLevel="1" thickBot="1" x14ac:dyDescent="0.25">
      <c r="B68" s="158"/>
      <c r="C68" s="158"/>
      <c r="R68" s="4"/>
      <c r="S68" s="4"/>
      <c r="T68" s="4"/>
      <c r="U68" s="4"/>
      <c r="V68" s="4"/>
      <c r="W68" s="4"/>
      <c r="X68" s="4"/>
    </row>
    <row r="69" spans="1:24" s="159" customFormat="1" ht="18.75" thickBot="1" x14ac:dyDescent="0.25">
      <c r="A69" s="4"/>
      <c r="B69" s="227" t="str">
        <f ca="1">"Table "&amp;$N$9&amp;".2.2 Infrastructure retained"</f>
        <v>Table 6.2.2 Infrastructure retained</v>
      </c>
      <c r="C69" s="30"/>
      <c r="D69" s="6"/>
      <c r="E69" s="6"/>
      <c r="F69" s="7"/>
      <c r="G69" s="7"/>
      <c r="H69" s="7"/>
      <c r="I69" s="7"/>
      <c r="J69" s="7"/>
      <c r="K69" s="108"/>
      <c r="L69" s="8"/>
      <c r="M69" s="4"/>
      <c r="N69" s="41"/>
      <c r="O69" s="41"/>
      <c r="P69" s="41" t="s">
        <v>60</v>
      </c>
      <c r="Q69" s="41"/>
      <c r="R69" s="41"/>
      <c r="S69" s="4"/>
    </row>
    <row r="70" spans="1:24" s="159" customFormat="1" outlineLevel="1" x14ac:dyDescent="0.2">
      <c r="A70" s="4"/>
      <c r="B70" s="69" t="s">
        <v>288</v>
      </c>
      <c r="C70" s="61" t="s">
        <v>70</v>
      </c>
      <c r="D70" s="62" t="s">
        <v>103</v>
      </c>
      <c r="E70" s="63" t="s">
        <v>79</v>
      </c>
      <c r="F70" s="384">
        <v>0</v>
      </c>
      <c r="G70" s="384">
        <v>0</v>
      </c>
      <c r="H70" s="384">
        <v>0</v>
      </c>
      <c r="I70" s="384">
        <v>0</v>
      </c>
      <c r="J70" s="384">
        <v>0</v>
      </c>
      <c r="K70" s="109" t="s">
        <v>78</v>
      </c>
      <c r="L70" s="70"/>
      <c r="M70" s="4"/>
      <c r="N70" s="228" t="str">
        <f>IF(B70="",N68,B70)</f>
        <v>Fencing (retained)</v>
      </c>
      <c r="O70" s="229" t="str">
        <f>IF(C70="",O68,C70)</f>
        <v>-</v>
      </c>
      <c r="P70" s="229" t="str">
        <f t="shared" ref="P70:P74" si="13">IF(Q70=1,IF(O70&lt;&gt;"-",N70&amp;" - "&amp;O70,N70),"")</f>
        <v/>
      </c>
      <c r="Q70" s="230"/>
      <c r="R70" s="231" t="str">
        <f>E70</f>
        <v>m</v>
      </c>
    </row>
    <row r="71" spans="1:24" s="159" customFormat="1" ht="28.5" outlineLevel="1" x14ac:dyDescent="0.2">
      <c r="A71" s="4"/>
      <c r="B71" s="69" t="s">
        <v>287</v>
      </c>
      <c r="C71" s="61" t="s">
        <v>70</v>
      </c>
      <c r="D71" s="62" t="s">
        <v>85</v>
      </c>
      <c r="E71" s="63" t="s">
        <v>82</v>
      </c>
      <c r="F71" s="384">
        <v>0</v>
      </c>
      <c r="G71" s="384">
        <v>0</v>
      </c>
      <c r="H71" s="384">
        <v>0</v>
      </c>
      <c r="I71" s="384">
        <v>0</v>
      </c>
      <c r="J71" s="384">
        <v>0</v>
      </c>
      <c r="K71" s="109" t="s">
        <v>160</v>
      </c>
      <c r="L71" s="70"/>
      <c r="M71" s="4"/>
      <c r="N71" s="228" t="str">
        <f>IF(B71="",N69,B71)</f>
        <v>Groundwater bore &lt; 70m TVD (retained)</v>
      </c>
      <c r="O71" s="229" t="str">
        <f>IF(C71="",O69,C71)</f>
        <v>-</v>
      </c>
      <c r="P71" s="229" t="str">
        <f t="shared" si="13"/>
        <v/>
      </c>
      <c r="Q71" s="230"/>
      <c r="R71" s="231" t="str">
        <f>E71</f>
        <v>#</v>
      </c>
    </row>
    <row r="72" spans="1:24" s="159" customFormat="1" ht="28.5" outlineLevel="1" x14ac:dyDescent="0.2">
      <c r="A72" s="4"/>
      <c r="B72" s="496" t="s">
        <v>286</v>
      </c>
      <c r="C72" s="495" t="s">
        <v>70</v>
      </c>
      <c r="D72" s="64" t="s">
        <v>85</v>
      </c>
      <c r="E72" s="65" t="s">
        <v>82</v>
      </c>
      <c r="F72" s="385">
        <v>0</v>
      </c>
      <c r="G72" s="385">
        <v>0</v>
      </c>
      <c r="H72" s="385">
        <v>0</v>
      </c>
      <c r="I72" s="385">
        <v>0</v>
      </c>
      <c r="J72" s="385">
        <v>0</v>
      </c>
      <c r="K72" s="110" t="s">
        <v>161</v>
      </c>
      <c r="L72" s="57"/>
      <c r="M72" s="4"/>
      <c r="N72" s="212" t="str">
        <f t="shared" si="10"/>
        <v>Groundwater bore ≥ 70m TVD (retained)</v>
      </c>
      <c r="O72" s="419" t="str">
        <f t="shared" si="10"/>
        <v>-</v>
      </c>
      <c r="P72" s="419" t="str">
        <f t="shared" si="13"/>
        <v/>
      </c>
      <c r="Q72" s="420"/>
      <c r="R72" s="215" t="str">
        <f>E72</f>
        <v>#</v>
      </c>
    </row>
    <row r="73" spans="1:24" s="159" customFormat="1" ht="71.25" outlineLevel="1" x14ac:dyDescent="0.2">
      <c r="A73" s="4"/>
      <c r="B73" s="496" t="s">
        <v>285</v>
      </c>
      <c r="C73" s="495" t="s">
        <v>70</v>
      </c>
      <c r="D73" s="194" t="s">
        <v>162</v>
      </c>
      <c r="E73" s="67" t="s">
        <v>64</v>
      </c>
      <c r="F73" s="51">
        <v>0</v>
      </c>
      <c r="G73" s="51">
        <v>0</v>
      </c>
      <c r="H73" s="51">
        <v>0</v>
      </c>
      <c r="I73" s="51">
        <v>0</v>
      </c>
      <c r="J73" s="51">
        <v>0</v>
      </c>
      <c r="K73" s="110" t="s">
        <v>163</v>
      </c>
      <c r="L73" s="57"/>
      <c r="M73" s="4"/>
      <c r="N73" s="212" t="str">
        <f t="shared" si="10"/>
        <v>Access track (new or existing retained)</v>
      </c>
      <c r="O73" s="419" t="str">
        <f t="shared" si="10"/>
        <v>-</v>
      </c>
      <c r="P73" s="419" t="str">
        <f t="shared" si="13"/>
        <v/>
      </c>
      <c r="Q73" s="420"/>
      <c r="R73" s="215" t="str">
        <f>E73</f>
        <v>ha</v>
      </c>
    </row>
    <row r="74" spans="1:24" s="159" customFormat="1" ht="29.25" outlineLevel="1" thickBot="1" x14ac:dyDescent="0.25">
      <c r="A74" s="4"/>
      <c r="B74" s="58" t="s">
        <v>284</v>
      </c>
      <c r="C74" s="72" t="s">
        <v>70</v>
      </c>
      <c r="D74" s="73" t="s">
        <v>87</v>
      </c>
      <c r="E74" s="74" t="s">
        <v>133</v>
      </c>
      <c r="F74" s="54">
        <v>0</v>
      </c>
      <c r="G74" s="54">
        <v>0</v>
      </c>
      <c r="H74" s="54">
        <v>0</v>
      </c>
      <c r="I74" s="54">
        <v>0</v>
      </c>
      <c r="J74" s="54">
        <v>0</v>
      </c>
      <c r="K74" s="111" t="s">
        <v>164</v>
      </c>
      <c r="L74" s="59"/>
      <c r="M74" s="4"/>
      <c r="N74" s="217" t="str">
        <f t="shared" ref="N74:O74" si="14">IF(B74="",N73,B74)</f>
        <v>Turkey's nest (retained)</v>
      </c>
      <c r="O74" s="218" t="str">
        <f t="shared" si="14"/>
        <v>-</v>
      </c>
      <c r="P74" s="218" t="str">
        <f t="shared" si="13"/>
        <v/>
      </c>
      <c r="Q74" s="219"/>
      <c r="R74" s="220" t="str">
        <f>E74</f>
        <v>m3</v>
      </c>
    </row>
    <row r="75" spans="1:24" s="159" customFormat="1" ht="15" outlineLevel="1" thickBot="1" x14ac:dyDescent="0.25">
      <c r="A75" s="4"/>
      <c r="K75" s="160"/>
      <c r="L75" s="161"/>
      <c r="M75" s="4"/>
      <c r="N75" s="4"/>
      <c r="O75" s="4"/>
      <c r="P75" s="4"/>
      <c r="Q75" s="4"/>
      <c r="R75" s="4"/>
      <c r="S75" s="4"/>
      <c r="T75" s="4"/>
    </row>
    <row r="76" spans="1:24" s="159" customFormat="1" ht="18.75" thickBot="1" x14ac:dyDescent="0.25">
      <c r="A76" s="4"/>
      <c r="B76" s="227" t="str">
        <f ca="1">"Table "&amp;$N$9&amp;".2.3 Infrastructure removal"</f>
        <v>Table 6.2.3 Infrastructure removal</v>
      </c>
      <c r="C76" s="30"/>
      <c r="D76" s="6"/>
      <c r="E76" s="6"/>
      <c r="F76" s="7"/>
      <c r="G76" s="7"/>
      <c r="H76" s="7"/>
      <c r="I76" s="7"/>
      <c r="J76" s="7"/>
      <c r="K76" s="108"/>
      <c r="L76" s="8"/>
      <c r="M76" s="4"/>
      <c r="N76" s="41"/>
      <c r="O76" s="41"/>
      <c r="P76" s="41" t="s">
        <v>60</v>
      </c>
      <c r="Q76" s="41"/>
      <c r="R76" s="41"/>
      <c r="S76" s="4"/>
      <c r="T76" s="4"/>
      <c r="U76" s="4"/>
    </row>
    <row r="77" spans="1:24" s="14" customFormat="1" outlineLevel="1" x14ac:dyDescent="0.2">
      <c r="A77" s="4"/>
      <c r="B77" s="69" t="s">
        <v>77</v>
      </c>
      <c r="C77" s="61" t="s">
        <v>70</v>
      </c>
      <c r="D77" s="62" t="s">
        <v>103</v>
      </c>
      <c r="E77" s="63" t="s">
        <v>79</v>
      </c>
      <c r="F77" s="48">
        <v>0</v>
      </c>
      <c r="G77" s="48">
        <v>0</v>
      </c>
      <c r="H77" s="48">
        <v>0</v>
      </c>
      <c r="I77" s="48">
        <v>0</v>
      </c>
      <c r="J77" s="48">
        <v>0</v>
      </c>
      <c r="K77" s="109" t="s">
        <v>78</v>
      </c>
      <c r="L77" s="70"/>
      <c r="M77" s="4"/>
      <c r="N77" s="228" t="str">
        <f t="shared" ref="N77:O92" si="15">IF(B77="",N76,B77)</f>
        <v>Fencing</v>
      </c>
      <c r="O77" s="229" t="str">
        <f t="shared" si="15"/>
        <v>-</v>
      </c>
      <c r="P77" s="229" t="str">
        <f>IF(Q77=1,IF(O77&lt;&gt;"-",N77&amp;" - "&amp;O77,N77),"")</f>
        <v>Fencing</v>
      </c>
      <c r="Q77" s="232">
        <v>1</v>
      </c>
      <c r="R77" s="231" t="str">
        <f t="shared" ref="R77:R101" si="16">E77</f>
        <v>m</v>
      </c>
    </row>
    <row r="78" spans="1:24" s="14" customFormat="1" ht="28.5" outlineLevel="1" x14ac:dyDescent="0.2">
      <c r="A78" s="4"/>
      <c r="B78" s="496" t="s">
        <v>80</v>
      </c>
      <c r="C78" s="495" t="s">
        <v>70</v>
      </c>
      <c r="D78" s="64" t="s">
        <v>85</v>
      </c>
      <c r="E78" s="65" t="s">
        <v>82</v>
      </c>
      <c r="F78" s="51">
        <v>0</v>
      </c>
      <c r="G78" s="51">
        <v>0</v>
      </c>
      <c r="H78" s="51">
        <v>0</v>
      </c>
      <c r="I78" s="51">
        <v>0</v>
      </c>
      <c r="J78" s="51">
        <v>0</v>
      </c>
      <c r="K78" s="110" t="s">
        <v>165</v>
      </c>
      <c r="L78" s="57"/>
      <c r="M78" s="4"/>
      <c r="N78" s="212" t="str">
        <f t="shared" si="15"/>
        <v>Groundwater bore &lt; 70m TVD</v>
      </c>
      <c r="O78" s="213" t="str">
        <f t="shared" si="15"/>
        <v>-</v>
      </c>
      <c r="P78" s="213" t="str">
        <f t="shared" ref="P78:P129" si="17">IF(Q78=1,IF(O78&lt;&gt;"-",N78&amp;" - "&amp;O78,N78),"")</f>
        <v>Groundwater bore &lt; 70m TVD</v>
      </c>
      <c r="Q78" s="233">
        <v>1</v>
      </c>
      <c r="R78" s="215" t="str">
        <f t="shared" si="16"/>
        <v>#</v>
      </c>
    </row>
    <row r="79" spans="1:24" s="14" customFormat="1" ht="28.5" outlineLevel="1" x14ac:dyDescent="0.2">
      <c r="A79" s="4"/>
      <c r="B79" s="496" t="s">
        <v>83</v>
      </c>
      <c r="C79" s="495" t="s">
        <v>70</v>
      </c>
      <c r="D79" s="64" t="s">
        <v>85</v>
      </c>
      <c r="E79" s="65" t="s">
        <v>82</v>
      </c>
      <c r="F79" s="51">
        <v>0</v>
      </c>
      <c r="G79" s="51">
        <v>0</v>
      </c>
      <c r="H79" s="51">
        <v>0</v>
      </c>
      <c r="I79" s="51">
        <v>0</v>
      </c>
      <c r="J79" s="51">
        <v>0</v>
      </c>
      <c r="K79" s="110" t="s">
        <v>166</v>
      </c>
      <c r="L79" s="57"/>
      <c r="M79" s="4"/>
      <c r="N79" s="212" t="str">
        <f t="shared" si="15"/>
        <v>Groundwater bore ≥ 70m TVD</v>
      </c>
      <c r="O79" s="213" t="str">
        <f t="shared" si="15"/>
        <v>-</v>
      </c>
      <c r="P79" s="213" t="str">
        <f t="shared" si="17"/>
        <v>Groundwater bore ≥ 70m TVD</v>
      </c>
      <c r="Q79" s="233">
        <v>1</v>
      </c>
      <c r="R79" s="215" t="str">
        <f t="shared" si="16"/>
        <v>#</v>
      </c>
    </row>
    <row r="80" spans="1:24" s="14" customFormat="1" outlineLevel="1" x14ac:dyDescent="0.2">
      <c r="A80" s="4"/>
      <c r="B80" s="496" t="s">
        <v>84</v>
      </c>
      <c r="C80" s="495" t="s">
        <v>70</v>
      </c>
      <c r="D80" s="64" t="s">
        <v>85</v>
      </c>
      <c r="E80" s="65" t="s">
        <v>82</v>
      </c>
      <c r="F80" s="51">
        <v>0</v>
      </c>
      <c r="G80" s="51">
        <v>0</v>
      </c>
      <c r="H80" s="51">
        <v>0</v>
      </c>
      <c r="I80" s="51">
        <v>0</v>
      </c>
      <c r="J80" s="51">
        <v>0</v>
      </c>
      <c r="K80" s="110" t="s">
        <v>167</v>
      </c>
      <c r="L80" s="57"/>
      <c r="M80" s="4"/>
      <c r="N80" s="212" t="str">
        <f t="shared" si="15"/>
        <v>Drill sump liners</v>
      </c>
      <c r="O80" s="213" t="str">
        <f t="shared" si="15"/>
        <v>-</v>
      </c>
      <c r="P80" s="213" t="str">
        <f t="shared" si="17"/>
        <v>Drill sump liners</v>
      </c>
      <c r="Q80" s="233">
        <v>1</v>
      </c>
      <c r="R80" s="215" t="str">
        <f t="shared" si="16"/>
        <v>#</v>
      </c>
    </row>
    <row r="81" spans="1:18" s="14" customFormat="1" outlineLevel="1" x14ac:dyDescent="0.2">
      <c r="A81" s="4"/>
      <c r="B81" s="658" t="s">
        <v>86</v>
      </c>
      <c r="C81" s="652" t="s">
        <v>70</v>
      </c>
      <c r="D81" s="64" t="s">
        <v>85</v>
      </c>
      <c r="E81" s="65" t="s">
        <v>82</v>
      </c>
      <c r="F81" s="51">
        <v>0</v>
      </c>
      <c r="G81" s="51">
        <v>0</v>
      </c>
      <c r="H81" s="51">
        <v>0</v>
      </c>
      <c r="I81" s="51">
        <v>0</v>
      </c>
      <c r="J81" s="51">
        <v>0</v>
      </c>
      <c r="K81" s="654" t="s">
        <v>168</v>
      </c>
      <c r="L81" s="57"/>
      <c r="M81" s="4"/>
      <c r="N81" s="212" t="str">
        <f t="shared" si="15"/>
        <v>Drill sump</v>
      </c>
      <c r="O81" s="213" t="str">
        <f t="shared" si="15"/>
        <v>-</v>
      </c>
      <c r="P81" s="213" t="str">
        <f t="shared" si="17"/>
        <v/>
      </c>
      <c r="Q81" s="233"/>
      <c r="R81" s="215" t="str">
        <f t="shared" si="16"/>
        <v>#</v>
      </c>
    </row>
    <row r="82" spans="1:18" s="14" customFormat="1" outlineLevel="1" x14ac:dyDescent="0.2">
      <c r="A82" s="4"/>
      <c r="B82" s="658"/>
      <c r="C82" s="652"/>
      <c r="D82" s="64" t="s">
        <v>103</v>
      </c>
      <c r="E82" s="65" t="s">
        <v>79</v>
      </c>
      <c r="F82" s="51">
        <v>0</v>
      </c>
      <c r="G82" s="51">
        <v>0</v>
      </c>
      <c r="H82" s="51">
        <v>0</v>
      </c>
      <c r="I82" s="51">
        <v>0</v>
      </c>
      <c r="J82" s="51">
        <v>0</v>
      </c>
      <c r="K82" s="654"/>
      <c r="L82" s="57"/>
      <c r="M82" s="4"/>
      <c r="N82" s="212" t="str">
        <f t="shared" si="15"/>
        <v>Drill sump</v>
      </c>
      <c r="O82" s="213" t="str">
        <f t="shared" si="15"/>
        <v>-</v>
      </c>
      <c r="P82" s="213" t="str">
        <f t="shared" si="17"/>
        <v/>
      </c>
      <c r="Q82" s="233"/>
      <c r="R82" s="215" t="str">
        <f t="shared" si="16"/>
        <v>m</v>
      </c>
    </row>
    <row r="83" spans="1:18" s="14" customFormat="1" outlineLevel="1" x14ac:dyDescent="0.2">
      <c r="A83" s="4"/>
      <c r="B83" s="658"/>
      <c r="C83" s="652"/>
      <c r="D83" s="64" t="s">
        <v>153</v>
      </c>
      <c r="E83" s="65" t="s">
        <v>79</v>
      </c>
      <c r="F83" s="51">
        <v>0</v>
      </c>
      <c r="G83" s="51">
        <v>0</v>
      </c>
      <c r="H83" s="51">
        <v>0</v>
      </c>
      <c r="I83" s="51">
        <v>0</v>
      </c>
      <c r="J83" s="51">
        <v>0</v>
      </c>
      <c r="K83" s="654"/>
      <c r="L83" s="57"/>
      <c r="M83" s="4"/>
      <c r="N83" s="212" t="str">
        <f t="shared" si="15"/>
        <v>Drill sump</v>
      </c>
      <c r="O83" s="213" t="str">
        <f t="shared" si="15"/>
        <v>-</v>
      </c>
      <c r="P83" s="213" t="str">
        <f t="shared" si="17"/>
        <v/>
      </c>
      <c r="Q83" s="233"/>
      <c r="R83" s="215" t="str">
        <f t="shared" si="16"/>
        <v>m</v>
      </c>
    </row>
    <row r="84" spans="1:18" s="14" customFormat="1" outlineLevel="1" x14ac:dyDescent="0.2">
      <c r="A84" s="4"/>
      <c r="B84" s="658"/>
      <c r="C84" s="652"/>
      <c r="D84" s="64" t="s">
        <v>157</v>
      </c>
      <c r="E84" s="65" t="s">
        <v>79</v>
      </c>
      <c r="F84" s="51">
        <v>0</v>
      </c>
      <c r="G84" s="51">
        <v>0</v>
      </c>
      <c r="H84" s="51">
        <v>0</v>
      </c>
      <c r="I84" s="51">
        <v>0</v>
      </c>
      <c r="J84" s="51">
        <v>0</v>
      </c>
      <c r="K84" s="654"/>
      <c r="L84" s="57"/>
      <c r="M84" s="4"/>
      <c r="N84" s="212" t="str">
        <f t="shared" si="15"/>
        <v>Drill sump</v>
      </c>
      <c r="O84" s="213" t="str">
        <f t="shared" si="15"/>
        <v>-</v>
      </c>
      <c r="P84" s="213" t="str">
        <f t="shared" si="17"/>
        <v/>
      </c>
      <c r="Q84" s="233"/>
      <c r="R84" s="215" t="str">
        <f t="shared" si="16"/>
        <v>m</v>
      </c>
    </row>
    <row r="85" spans="1:18" s="14" customFormat="1" ht="15.75" outlineLevel="1" x14ac:dyDescent="0.2">
      <c r="A85" s="4"/>
      <c r="B85" s="658"/>
      <c r="C85" s="652"/>
      <c r="D85" s="64" t="s">
        <v>87</v>
      </c>
      <c r="E85" s="65" t="s">
        <v>133</v>
      </c>
      <c r="F85" s="223">
        <f>F81*(F82*F83*F84)</f>
        <v>0</v>
      </c>
      <c r="G85" s="223">
        <f t="shared" ref="G85:J85" si="18">G81*(G82*G83*G84)</f>
        <v>0</v>
      </c>
      <c r="H85" s="223">
        <f t="shared" si="18"/>
        <v>0</v>
      </c>
      <c r="I85" s="223">
        <f t="shared" si="18"/>
        <v>0</v>
      </c>
      <c r="J85" s="223">
        <f t="shared" si="18"/>
        <v>0</v>
      </c>
      <c r="K85" s="654"/>
      <c r="L85" s="57"/>
      <c r="M85" s="4"/>
      <c r="N85" s="212" t="str">
        <f t="shared" si="15"/>
        <v>Drill sump</v>
      </c>
      <c r="O85" s="213" t="str">
        <f t="shared" si="15"/>
        <v>-</v>
      </c>
      <c r="P85" s="213" t="str">
        <f t="shared" si="17"/>
        <v>Drill sump</v>
      </c>
      <c r="Q85" s="233">
        <v>1</v>
      </c>
      <c r="R85" s="215" t="str">
        <f t="shared" si="16"/>
        <v>m3</v>
      </c>
    </row>
    <row r="86" spans="1:18" s="14" customFormat="1" outlineLevel="1" x14ac:dyDescent="0.2">
      <c r="A86" s="4"/>
      <c r="B86" s="658" t="s">
        <v>88</v>
      </c>
      <c r="C86" s="652" t="s">
        <v>70</v>
      </c>
      <c r="D86" s="64" t="s">
        <v>85</v>
      </c>
      <c r="E86" s="65" t="s">
        <v>82</v>
      </c>
      <c r="F86" s="222">
        <v>0</v>
      </c>
      <c r="G86" s="222">
        <v>0</v>
      </c>
      <c r="H86" s="222">
        <v>0</v>
      </c>
      <c r="I86" s="222">
        <v>0</v>
      </c>
      <c r="J86" s="222">
        <v>0</v>
      </c>
      <c r="K86" s="654" t="s">
        <v>170</v>
      </c>
      <c r="L86" s="57"/>
      <c r="M86" s="4"/>
      <c r="N86" s="212" t="str">
        <f t="shared" si="15"/>
        <v>Flare pit</v>
      </c>
      <c r="O86" s="213" t="str">
        <f t="shared" si="15"/>
        <v>-</v>
      </c>
      <c r="P86" s="213" t="str">
        <f t="shared" si="17"/>
        <v/>
      </c>
      <c r="Q86" s="233"/>
      <c r="R86" s="215" t="str">
        <f t="shared" si="16"/>
        <v>#</v>
      </c>
    </row>
    <row r="87" spans="1:18" s="14" customFormat="1" outlineLevel="1" x14ac:dyDescent="0.2">
      <c r="A87" s="4"/>
      <c r="B87" s="658"/>
      <c r="C87" s="652"/>
      <c r="D87" s="64" t="s">
        <v>103</v>
      </c>
      <c r="E87" s="65" t="s">
        <v>79</v>
      </c>
      <c r="F87" s="222">
        <v>0</v>
      </c>
      <c r="G87" s="222">
        <v>0</v>
      </c>
      <c r="H87" s="222">
        <v>0</v>
      </c>
      <c r="I87" s="222">
        <v>0</v>
      </c>
      <c r="J87" s="222">
        <v>0</v>
      </c>
      <c r="K87" s="654"/>
      <c r="L87" s="57"/>
      <c r="M87" s="4"/>
      <c r="N87" s="212" t="str">
        <f t="shared" si="15"/>
        <v>Flare pit</v>
      </c>
      <c r="O87" s="213" t="str">
        <f t="shared" si="15"/>
        <v>-</v>
      </c>
      <c r="P87" s="213" t="str">
        <f t="shared" si="17"/>
        <v/>
      </c>
      <c r="Q87" s="233"/>
      <c r="R87" s="215" t="str">
        <f t="shared" si="16"/>
        <v>m</v>
      </c>
    </row>
    <row r="88" spans="1:18" s="14" customFormat="1" outlineLevel="1" x14ac:dyDescent="0.2">
      <c r="A88" s="4"/>
      <c r="B88" s="658"/>
      <c r="C88" s="652"/>
      <c r="D88" s="64" t="s">
        <v>153</v>
      </c>
      <c r="E88" s="65" t="s">
        <v>79</v>
      </c>
      <c r="F88" s="222">
        <v>0</v>
      </c>
      <c r="G88" s="222">
        <v>0</v>
      </c>
      <c r="H88" s="222">
        <v>0</v>
      </c>
      <c r="I88" s="222">
        <v>0</v>
      </c>
      <c r="J88" s="222">
        <v>0</v>
      </c>
      <c r="K88" s="654"/>
      <c r="L88" s="57"/>
      <c r="M88" s="4"/>
      <c r="N88" s="212" t="str">
        <f t="shared" si="15"/>
        <v>Flare pit</v>
      </c>
      <c r="O88" s="213" t="str">
        <f t="shared" si="15"/>
        <v>-</v>
      </c>
      <c r="P88" s="213" t="str">
        <f t="shared" si="17"/>
        <v/>
      </c>
      <c r="Q88" s="233"/>
      <c r="R88" s="215" t="str">
        <f t="shared" si="16"/>
        <v>m</v>
      </c>
    </row>
    <row r="89" spans="1:18" s="14" customFormat="1" outlineLevel="1" x14ac:dyDescent="0.2">
      <c r="A89" s="4"/>
      <c r="B89" s="658"/>
      <c r="C89" s="652"/>
      <c r="D89" s="64" t="s">
        <v>157</v>
      </c>
      <c r="E89" s="65" t="s">
        <v>79</v>
      </c>
      <c r="F89" s="222">
        <v>0</v>
      </c>
      <c r="G89" s="222">
        <v>0</v>
      </c>
      <c r="H89" s="222">
        <v>0</v>
      </c>
      <c r="I89" s="222">
        <v>0</v>
      </c>
      <c r="J89" s="222">
        <v>0</v>
      </c>
      <c r="K89" s="654"/>
      <c r="L89" s="57"/>
      <c r="M89" s="4"/>
      <c r="N89" s="212" t="str">
        <f t="shared" si="15"/>
        <v>Flare pit</v>
      </c>
      <c r="O89" s="213" t="str">
        <f t="shared" si="15"/>
        <v>-</v>
      </c>
      <c r="P89" s="213" t="str">
        <f t="shared" si="17"/>
        <v/>
      </c>
      <c r="Q89" s="233"/>
      <c r="R89" s="215" t="str">
        <f t="shared" si="16"/>
        <v>m</v>
      </c>
    </row>
    <row r="90" spans="1:18" s="14" customFormat="1" ht="15.75" outlineLevel="1" x14ac:dyDescent="0.2">
      <c r="A90" s="4"/>
      <c r="B90" s="658"/>
      <c r="C90" s="652"/>
      <c r="D90" s="64" t="s">
        <v>87</v>
      </c>
      <c r="E90" s="65" t="s">
        <v>133</v>
      </c>
      <c r="F90" s="224">
        <f>F86*(F87*F88*F89)</f>
        <v>0</v>
      </c>
      <c r="G90" s="224">
        <f t="shared" ref="G90:J90" si="19">G86*(G87*G88*G89)</f>
        <v>0</v>
      </c>
      <c r="H90" s="224">
        <f t="shared" si="19"/>
        <v>0</v>
      </c>
      <c r="I90" s="224">
        <f t="shared" si="19"/>
        <v>0</v>
      </c>
      <c r="J90" s="224">
        <f t="shared" si="19"/>
        <v>0</v>
      </c>
      <c r="K90" s="654"/>
      <c r="L90" s="57"/>
      <c r="M90" s="4"/>
      <c r="N90" s="212" t="str">
        <f t="shared" si="15"/>
        <v>Flare pit</v>
      </c>
      <c r="O90" s="213" t="str">
        <f t="shared" si="15"/>
        <v>-</v>
      </c>
      <c r="P90" s="213" t="str">
        <f t="shared" si="17"/>
        <v>Flare pit</v>
      </c>
      <c r="Q90" s="233">
        <v>1</v>
      </c>
      <c r="R90" s="215" t="str">
        <f t="shared" si="16"/>
        <v>m3</v>
      </c>
    </row>
    <row r="91" spans="1:18" s="14" customFormat="1" ht="28.5" outlineLevel="1" x14ac:dyDescent="0.2">
      <c r="A91" s="4"/>
      <c r="B91" s="496" t="s">
        <v>89</v>
      </c>
      <c r="C91" s="495" t="s">
        <v>70</v>
      </c>
      <c r="D91" s="64" t="s">
        <v>85</v>
      </c>
      <c r="E91" s="65" t="s">
        <v>82</v>
      </c>
      <c r="F91" s="222">
        <v>0</v>
      </c>
      <c r="G91" s="222">
        <v>0</v>
      </c>
      <c r="H91" s="222">
        <v>0</v>
      </c>
      <c r="I91" s="222">
        <v>0</v>
      </c>
      <c r="J91" s="222">
        <v>0</v>
      </c>
      <c r="K91" s="110" t="s">
        <v>171</v>
      </c>
      <c r="L91" s="57"/>
      <c r="M91" s="4"/>
      <c r="N91" s="212" t="str">
        <f t="shared" si="15"/>
        <v>Wastewater tank</v>
      </c>
      <c r="O91" s="213" t="str">
        <f t="shared" si="15"/>
        <v>-</v>
      </c>
      <c r="P91" s="213" t="str">
        <f t="shared" si="17"/>
        <v>Wastewater tank</v>
      </c>
      <c r="Q91" s="233">
        <v>1</v>
      </c>
      <c r="R91" s="215" t="str">
        <f t="shared" si="16"/>
        <v>#</v>
      </c>
    </row>
    <row r="92" spans="1:18" s="14" customFormat="1" ht="28.5" outlineLevel="1" x14ac:dyDescent="0.2">
      <c r="A92" s="4"/>
      <c r="B92" s="414" t="s">
        <v>90</v>
      </c>
      <c r="C92" s="415" t="s">
        <v>70</v>
      </c>
      <c r="D92" s="64" t="s">
        <v>85</v>
      </c>
      <c r="E92" s="65" t="s">
        <v>82</v>
      </c>
      <c r="F92" s="222">
        <v>0</v>
      </c>
      <c r="G92" s="222">
        <v>0</v>
      </c>
      <c r="H92" s="222">
        <v>0</v>
      </c>
      <c r="I92" s="222">
        <v>0</v>
      </c>
      <c r="J92" s="222">
        <v>0</v>
      </c>
      <c r="K92" s="110" t="s">
        <v>272</v>
      </c>
      <c r="L92" s="57"/>
      <c r="M92" s="4"/>
      <c r="N92" s="212" t="str">
        <f t="shared" si="15"/>
        <v>Wastewater treatment plant (camp)</v>
      </c>
      <c r="O92" s="213" t="str">
        <f t="shared" si="15"/>
        <v>-</v>
      </c>
      <c r="P92" s="213" t="str">
        <f t="shared" si="17"/>
        <v>Wastewater treatment plant (camp)</v>
      </c>
      <c r="Q92" s="233">
        <v>1</v>
      </c>
      <c r="R92" s="215" t="str">
        <f t="shared" si="16"/>
        <v>#</v>
      </c>
    </row>
    <row r="93" spans="1:18" s="14" customFormat="1" outlineLevel="1" x14ac:dyDescent="0.2">
      <c r="A93" s="4"/>
      <c r="B93" s="658" t="s">
        <v>92</v>
      </c>
      <c r="C93" s="652" t="s">
        <v>70</v>
      </c>
      <c r="D93" s="64" t="s">
        <v>85</v>
      </c>
      <c r="E93" s="65" t="s">
        <v>82</v>
      </c>
      <c r="F93" s="222">
        <v>0</v>
      </c>
      <c r="G93" s="222">
        <v>0</v>
      </c>
      <c r="H93" s="222">
        <v>0</v>
      </c>
      <c r="I93" s="222">
        <v>0</v>
      </c>
      <c r="J93" s="222">
        <v>0</v>
      </c>
      <c r="K93" s="654" t="s">
        <v>173</v>
      </c>
      <c r="L93" s="57"/>
      <c r="M93" s="4"/>
      <c r="N93" s="212" t="str">
        <f t="shared" ref="N93:O108" si="20">IF(B93="",N92,B93)</f>
        <v>Turkey's nest</v>
      </c>
      <c r="O93" s="213" t="str">
        <f t="shared" si="20"/>
        <v>-</v>
      </c>
      <c r="P93" s="213" t="str">
        <f t="shared" si="17"/>
        <v/>
      </c>
      <c r="Q93" s="233"/>
      <c r="R93" s="215" t="str">
        <f t="shared" si="16"/>
        <v>#</v>
      </c>
    </row>
    <row r="94" spans="1:18" s="14" customFormat="1" outlineLevel="1" x14ac:dyDescent="0.2">
      <c r="A94" s="4"/>
      <c r="B94" s="658"/>
      <c r="C94" s="652"/>
      <c r="D94" s="64" t="s">
        <v>103</v>
      </c>
      <c r="E94" s="65" t="s">
        <v>79</v>
      </c>
      <c r="F94" s="222">
        <v>0</v>
      </c>
      <c r="G94" s="222">
        <v>0</v>
      </c>
      <c r="H94" s="222">
        <v>0</v>
      </c>
      <c r="I94" s="222">
        <v>0</v>
      </c>
      <c r="J94" s="222">
        <v>0</v>
      </c>
      <c r="K94" s="654"/>
      <c r="L94" s="57"/>
      <c r="M94" s="4"/>
      <c r="N94" s="212" t="str">
        <f t="shared" si="20"/>
        <v>Turkey's nest</v>
      </c>
      <c r="O94" s="213" t="str">
        <f t="shared" si="20"/>
        <v>-</v>
      </c>
      <c r="P94" s="213" t="str">
        <f t="shared" si="17"/>
        <v/>
      </c>
      <c r="Q94" s="233"/>
      <c r="R94" s="215" t="str">
        <f t="shared" si="16"/>
        <v>m</v>
      </c>
    </row>
    <row r="95" spans="1:18" s="14" customFormat="1" outlineLevel="1" x14ac:dyDescent="0.2">
      <c r="A95" s="4"/>
      <c r="B95" s="658"/>
      <c r="C95" s="652"/>
      <c r="D95" s="64" t="s">
        <v>153</v>
      </c>
      <c r="E95" s="65" t="s">
        <v>79</v>
      </c>
      <c r="F95" s="222">
        <v>0</v>
      </c>
      <c r="G95" s="222">
        <v>0</v>
      </c>
      <c r="H95" s="222">
        <v>0</v>
      </c>
      <c r="I95" s="222">
        <v>0</v>
      </c>
      <c r="J95" s="222">
        <v>0</v>
      </c>
      <c r="K95" s="654"/>
      <c r="L95" s="57"/>
      <c r="M95" s="4"/>
      <c r="N95" s="212" t="str">
        <f t="shared" si="20"/>
        <v>Turkey's nest</v>
      </c>
      <c r="O95" s="213" t="str">
        <f t="shared" si="20"/>
        <v>-</v>
      </c>
      <c r="P95" s="213" t="str">
        <f t="shared" si="17"/>
        <v/>
      </c>
      <c r="Q95" s="233"/>
      <c r="R95" s="215" t="str">
        <f t="shared" si="16"/>
        <v>m</v>
      </c>
    </row>
    <row r="96" spans="1:18" s="14" customFormat="1" outlineLevel="1" x14ac:dyDescent="0.2">
      <c r="A96" s="4"/>
      <c r="B96" s="658"/>
      <c r="C96" s="652"/>
      <c r="D96" s="64" t="s">
        <v>157</v>
      </c>
      <c r="E96" s="65" t="s">
        <v>79</v>
      </c>
      <c r="F96" s="222">
        <v>0</v>
      </c>
      <c r="G96" s="222">
        <v>0</v>
      </c>
      <c r="H96" s="222">
        <v>0</v>
      </c>
      <c r="I96" s="222">
        <v>0</v>
      </c>
      <c r="J96" s="222">
        <v>0</v>
      </c>
      <c r="K96" s="654"/>
      <c r="L96" s="57"/>
      <c r="M96" s="4"/>
      <c r="N96" s="212" t="str">
        <f t="shared" si="20"/>
        <v>Turkey's nest</v>
      </c>
      <c r="O96" s="213" t="str">
        <f t="shared" si="20"/>
        <v>-</v>
      </c>
      <c r="P96" s="213" t="str">
        <f t="shared" si="17"/>
        <v/>
      </c>
      <c r="Q96" s="233"/>
      <c r="R96" s="215" t="str">
        <f t="shared" si="16"/>
        <v>m</v>
      </c>
    </row>
    <row r="97" spans="1:27" s="14" customFormat="1" ht="15.75" outlineLevel="1" x14ac:dyDescent="0.2">
      <c r="A97" s="4"/>
      <c r="B97" s="658"/>
      <c r="C97" s="652"/>
      <c r="D97" s="64" t="s">
        <v>87</v>
      </c>
      <c r="E97" s="65" t="s">
        <v>133</v>
      </c>
      <c r="F97" s="224">
        <f>F93*(F94*F95*F96)</f>
        <v>0</v>
      </c>
      <c r="G97" s="224">
        <f t="shared" ref="G97:J97" si="21">G93*(G94*G95*G96)</f>
        <v>0</v>
      </c>
      <c r="H97" s="224">
        <f t="shared" si="21"/>
        <v>0</v>
      </c>
      <c r="I97" s="224">
        <f t="shared" si="21"/>
        <v>0</v>
      </c>
      <c r="J97" s="224">
        <f t="shared" si="21"/>
        <v>0</v>
      </c>
      <c r="K97" s="654"/>
      <c r="L97" s="57"/>
      <c r="M97" s="4"/>
      <c r="N97" s="212" t="str">
        <f t="shared" si="20"/>
        <v>Turkey's nest</v>
      </c>
      <c r="O97" s="213" t="str">
        <f t="shared" si="20"/>
        <v>-</v>
      </c>
      <c r="P97" s="213" t="str">
        <f t="shared" si="17"/>
        <v>Turkey's nest</v>
      </c>
      <c r="Q97" s="233">
        <v>1</v>
      </c>
      <c r="R97" s="215" t="str">
        <f t="shared" si="16"/>
        <v>m3</v>
      </c>
    </row>
    <row r="98" spans="1:27" s="14" customFormat="1" outlineLevel="1" x14ac:dyDescent="0.2">
      <c r="A98" s="4"/>
      <c r="B98" s="659" t="s">
        <v>93</v>
      </c>
      <c r="C98" s="650" t="s">
        <v>70</v>
      </c>
      <c r="D98" s="64" t="s">
        <v>91</v>
      </c>
      <c r="E98" s="65" t="s">
        <v>172</v>
      </c>
      <c r="F98" s="222">
        <v>0</v>
      </c>
      <c r="G98" s="222">
        <v>0</v>
      </c>
      <c r="H98" s="222">
        <v>0</v>
      </c>
      <c r="I98" s="222">
        <v>0</v>
      </c>
      <c r="J98" s="222">
        <v>0</v>
      </c>
      <c r="K98" s="649" t="s">
        <v>314</v>
      </c>
      <c r="L98" s="57"/>
      <c r="M98" s="4"/>
      <c r="N98" s="212" t="str">
        <f t="shared" si="20"/>
        <v>Camp capacity</v>
      </c>
      <c r="O98" s="419" t="str">
        <f t="shared" si="20"/>
        <v>-</v>
      </c>
      <c r="P98" s="419" t="str">
        <f t="shared" si="17"/>
        <v/>
      </c>
      <c r="Q98" s="421"/>
      <c r="R98" s="215" t="str">
        <f t="shared" si="16"/>
        <v>people</v>
      </c>
    </row>
    <row r="99" spans="1:27" s="14" customFormat="1" outlineLevel="1" x14ac:dyDescent="0.2">
      <c r="A99" s="4"/>
      <c r="B99" s="659"/>
      <c r="C99" s="650"/>
      <c r="D99" s="64" t="s">
        <v>85</v>
      </c>
      <c r="E99" s="67" t="s">
        <v>82</v>
      </c>
      <c r="F99" s="66">
        <v>0</v>
      </c>
      <c r="G99" s="66">
        <v>0</v>
      </c>
      <c r="H99" s="66">
        <v>0</v>
      </c>
      <c r="I99" s="66">
        <v>0</v>
      </c>
      <c r="J99" s="66">
        <v>0</v>
      </c>
      <c r="K99" s="649"/>
      <c r="L99" s="57"/>
      <c r="M99" s="4"/>
      <c r="N99" s="212" t="str">
        <f t="shared" si="20"/>
        <v>Camp capacity</v>
      </c>
      <c r="O99" s="419" t="str">
        <f t="shared" si="20"/>
        <v>-</v>
      </c>
      <c r="P99" s="419" t="str">
        <f t="shared" si="17"/>
        <v>Camp capacity</v>
      </c>
      <c r="Q99" s="421">
        <v>1</v>
      </c>
      <c r="R99" s="215" t="str">
        <f t="shared" si="16"/>
        <v>#</v>
      </c>
    </row>
    <row r="100" spans="1:27" s="14" customFormat="1" ht="28.5" outlineLevel="1" x14ac:dyDescent="0.2">
      <c r="A100" s="4"/>
      <c r="B100" s="496" t="s">
        <v>102</v>
      </c>
      <c r="C100" s="495" t="s">
        <v>264</v>
      </c>
      <c r="D100" s="64" t="s">
        <v>103</v>
      </c>
      <c r="E100" s="65" t="s">
        <v>79</v>
      </c>
      <c r="F100" s="222">
        <v>0</v>
      </c>
      <c r="G100" s="222">
        <v>0</v>
      </c>
      <c r="H100" s="222">
        <v>0</v>
      </c>
      <c r="I100" s="222">
        <v>0</v>
      </c>
      <c r="J100" s="222">
        <v>0</v>
      </c>
      <c r="K100" s="490" t="s">
        <v>174</v>
      </c>
      <c r="L100" s="57"/>
      <c r="M100" s="4"/>
      <c r="N100" s="212" t="str">
        <f>IF(B100="",N99,B100)</f>
        <v>Flowlines / pipelines</v>
      </c>
      <c r="O100" s="419" t="str">
        <f>IF(C100="",O99,C100)</f>
        <v>Above and below ground</v>
      </c>
      <c r="P100" s="419" t="str">
        <f t="shared" si="17"/>
        <v>Flowlines / pipelines - Above and below ground</v>
      </c>
      <c r="Q100" s="421">
        <v>1</v>
      </c>
      <c r="R100" s="215" t="str">
        <f t="shared" si="16"/>
        <v>m</v>
      </c>
    </row>
    <row r="101" spans="1:27" s="14" customFormat="1" ht="28.5" outlineLevel="1" x14ac:dyDescent="0.2">
      <c r="A101" s="4"/>
      <c r="B101" s="496" t="s">
        <v>104</v>
      </c>
      <c r="C101" s="495" t="s">
        <v>273</v>
      </c>
      <c r="D101" s="64" t="s">
        <v>85</v>
      </c>
      <c r="E101" s="65" t="s">
        <v>82</v>
      </c>
      <c r="F101" s="225">
        <f>F56</f>
        <v>0</v>
      </c>
      <c r="G101" s="225">
        <f>G56</f>
        <v>0</v>
      </c>
      <c r="H101" s="225">
        <f>H56</f>
        <v>0</v>
      </c>
      <c r="I101" s="225">
        <f>I56</f>
        <v>0</v>
      </c>
      <c r="J101" s="225">
        <f>J56</f>
        <v>0</v>
      </c>
      <c r="K101" s="490" t="s">
        <v>175</v>
      </c>
      <c r="L101" s="57"/>
      <c r="M101" s="4"/>
      <c r="N101" s="217" t="str">
        <f>IF(B101="",N100,B101)</f>
        <v xml:space="preserve">Contaminated soil testing </v>
      </c>
      <c r="O101" s="218" t="str">
        <f>IF(C101="",O100,C101)</f>
        <v>Per well pad</v>
      </c>
      <c r="P101" s="218" t="str">
        <f t="shared" si="17"/>
        <v>Contaminated soil testing  - Per well pad</v>
      </c>
      <c r="Q101" s="234">
        <v>1</v>
      </c>
      <c r="R101" s="220" t="str">
        <f t="shared" si="16"/>
        <v>#</v>
      </c>
    </row>
    <row r="102" spans="1:27" ht="15" outlineLevel="1" thickBot="1" x14ac:dyDescent="0.25">
      <c r="B102" s="158"/>
      <c r="C102" s="158"/>
      <c r="D102" s="162"/>
      <c r="E102" s="162"/>
      <c r="R102" s="4"/>
      <c r="S102" s="4"/>
      <c r="T102" s="4"/>
      <c r="U102" s="4"/>
      <c r="V102" s="4"/>
      <c r="W102" s="4"/>
      <c r="X102" s="4"/>
      <c r="Y102" s="4"/>
      <c r="Z102" s="4"/>
      <c r="AA102" s="4"/>
    </row>
    <row r="103" spans="1:27" s="159" customFormat="1" ht="18.75" thickBot="1" x14ac:dyDescent="0.25">
      <c r="A103" s="4"/>
      <c r="B103" s="227" t="str">
        <f ca="1">"Table "&amp;$N$9&amp;".2.4 Waste disposal"</f>
        <v>Table 6.2.4 Waste disposal</v>
      </c>
      <c r="C103" s="43"/>
      <c r="D103" s="6"/>
      <c r="E103" s="6"/>
      <c r="F103" s="7"/>
      <c r="G103" s="7"/>
      <c r="H103" s="7"/>
      <c r="I103" s="7"/>
      <c r="J103" s="7"/>
      <c r="K103" s="108"/>
      <c r="L103" s="8"/>
      <c r="M103" s="4"/>
      <c r="N103" s="41"/>
      <c r="O103" s="41"/>
      <c r="P103" s="41" t="s">
        <v>60</v>
      </c>
      <c r="Q103" s="41"/>
      <c r="R103" s="41"/>
      <c r="S103" s="4"/>
      <c r="T103" s="4"/>
      <c r="U103" s="4"/>
      <c r="V103" s="4"/>
      <c r="W103" s="4"/>
      <c r="X103" s="4"/>
      <c r="Y103" s="4"/>
      <c r="Z103" s="4"/>
      <c r="AA103" s="4"/>
    </row>
    <row r="104" spans="1:27" s="14" customFormat="1" outlineLevel="1" x14ac:dyDescent="0.2">
      <c r="A104" s="4"/>
      <c r="B104" s="69" t="s">
        <v>105</v>
      </c>
      <c r="C104" s="195" t="s">
        <v>70</v>
      </c>
      <c r="D104" s="197" t="s">
        <v>176</v>
      </c>
      <c r="E104" s="68" t="s">
        <v>177</v>
      </c>
      <c r="F104" s="226">
        <v>0</v>
      </c>
      <c r="G104" s="226">
        <v>0</v>
      </c>
      <c r="H104" s="226">
        <v>0</v>
      </c>
      <c r="I104" s="226">
        <v>0</v>
      </c>
      <c r="J104" s="226">
        <v>0</v>
      </c>
      <c r="K104" s="109" t="s">
        <v>106</v>
      </c>
      <c r="L104" s="70"/>
      <c r="M104" s="4"/>
      <c r="N104" s="228" t="str">
        <f t="shared" si="20"/>
        <v>General waste</v>
      </c>
      <c r="O104" s="229" t="str">
        <f t="shared" si="20"/>
        <v>-</v>
      </c>
      <c r="P104" s="229" t="str">
        <f t="shared" si="17"/>
        <v>General waste</v>
      </c>
      <c r="Q104" s="232">
        <v>1</v>
      </c>
      <c r="R104" s="231" t="str">
        <f t="shared" ref="R104:R129" si="22">E104</f>
        <v>tonnes</v>
      </c>
    </row>
    <row r="105" spans="1:27" s="14" customFormat="1" ht="28.5" outlineLevel="1" x14ac:dyDescent="0.2">
      <c r="A105" s="4"/>
      <c r="B105" s="496" t="s">
        <v>109</v>
      </c>
      <c r="C105" s="196" t="s">
        <v>70</v>
      </c>
      <c r="D105" s="55" t="s">
        <v>176</v>
      </c>
      <c r="E105" s="198" t="s">
        <v>177</v>
      </c>
      <c r="F105" s="222">
        <v>0</v>
      </c>
      <c r="G105" s="222">
        <v>0</v>
      </c>
      <c r="H105" s="222">
        <v>0</v>
      </c>
      <c r="I105" s="222">
        <v>0</v>
      </c>
      <c r="J105" s="222">
        <v>0</v>
      </c>
      <c r="K105" s="110" t="s">
        <v>178</v>
      </c>
      <c r="L105" s="57"/>
      <c r="M105" s="4"/>
      <c r="N105" s="212" t="str">
        <f t="shared" si="20"/>
        <v>Listed waste</v>
      </c>
      <c r="O105" s="235" t="str">
        <f t="shared" si="20"/>
        <v>-</v>
      </c>
      <c r="P105" s="213" t="str">
        <f t="shared" si="17"/>
        <v>Listed waste</v>
      </c>
      <c r="Q105" s="233">
        <v>1</v>
      </c>
      <c r="R105" s="215" t="str">
        <f t="shared" si="22"/>
        <v>tonnes</v>
      </c>
    </row>
    <row r="106" spans="1:27" s="14" customFormat="1" outlineLevel="1" x14ac:dyDescent="0.2">
      <c r="A106" s="4"/>
      <c r="B106" s="496" t="s">
        <v>112</v>
      </c>
      <c r="C106" s="196" t="s">
        <v>70</v>
      </c>
      <c r="D106" s="194" t="s">
        <v>87</v>
      </c>
      <c r="E106" s="67" t="s">
        <v>177</v>
      </c>
      <c r="F106" s="222">
        <v>0</v>
      </c>
      <c r="G106" s="222">
        <v>0</v>
      </c>
      <c r="H106" s="222">
        <v>0</v>
      </c>
      <c r="I106" s="222">
        <v>0</v>
      </c>
      <c r="J106" s="222">
        <v>0</v>
      </c>
      <c r="K106" s="110" t="s">
        <v>113</v>
      </c>
      <c r="L106" s="57"/>
      <c r="M106" s="4"/>
      <c r="N106" s="212" t="str">
        <f t="shared" si="20"/>
        <v xml:space="preserve">Chemical waste </v>
      </c>
      <c r="O106" s="235" t="str">
        <f t="shared" si="20"/>
        <v>-</v>
      </c>
      <c r="P106" s="213" t="str">
        <f t="shared" si="17"/>
        <v xml:space="preserve">Chemical waste </v>
      </c>
      <c r="Q106" s="233">
        <v>1</v>
      </c>
      <c r="R106" s="215" t="str">
        <f t="shared" si="22"/>
        <v>tonnes</v>
      </c>
    </row>
    <row r="107" spans="1:27" s="14" customFormat="1" outlineLevel="1" x14ac:dyDescent="0.2">
      <c r="A107" s="4"/>
      <c r="B107" s="438" t="s">
        <v>179</v>
      </c>
      <c r="C107" s="439"/>
      <c r="D107" s="439"/>
      <c r="E107" s="439"/>
      <c r="F107" s="439"/>
      <c r="G107" s="439"/>
      <c r="H107" s="439"/>
      <c r="I107" s="439"/>
      <c r="J107" s="439"/>
      <c r="K107" s="439"/>
      <c r="L107" s="440"/>
      <c r="M107" s="4"/>
      <c r="N107" s="212" t="str">
        <f>IF(B107="",N106,B107)</f>
        <v>Hydraulic Fracking Fluid</v>
      </c>
      <c r="O107" s="236" t="str">
        <f t="shared" si="20"/>
        <v>-</v>
      </c>
      <c r="P107" s="213" t="str">
        <f t="shared" si="17"/>
        <v/>
      </c>
      <c r="Q107" s="233"/>
      <c r="R107" s="215">
        <f t="shared" si="22"/>
        <v>0</v>
      </c>
    </row>
    <row r="108" spans="1:27" s="14" customFormat="1" ht="42.75" outlineLevel="1" x14ac:dyDescent="0.2">
      <c r="A108" s="4"/>
      <c r="B108" s="189" t="s">
        <v>180</v>
      </c>
      <c r="C108" s="495" t="s">
        <v>70</v>
      </c>
      <c r="D108" s="193" t="s">
        <v>87</v>
      </c>
      <c r="E108" s="198" t="s">
        <v>181</v>
      </c>
      <c r="F108" s="222">
        <v>0</v>
      </c>
      <c r="G108" s="222">
        <v>0</v>
      </c>
      <c r="H108" s="222">
        <v>0</v>
      </c>
      <c r="I108" s="222">
        <v>0</v>
      </c>
      <c r="J108" s="222">
        <v>0</v>
      </c>
      <c r="K108" s="110" t="s">
        <v>182</v>
      </c>
      <c r="L108" s="57"/>
      <c r="M108" s="4"/>
      <c r="N108" s="212" t="str">
        <f t="shared" si="20"/>
        <v>Total volume of hydraulic fracking fluid to be used</v>
      </c>
      <c r="O108" s="236" t="str">
        <f t="shared" si="20"/>
        <v>-</v>
      </c>
      <c r="P108" s="213" t="str">
        <f t="shared" si="17"/>
        <v/>
      </c>
      <c r="Q108" s="233"/>
      <c r="R108" s="215" t="str">
        <f t="shared" si="22"/>
        <v>ML</v>
      </c>
    </row>
    <row r="109" spans="1:27" s="14" customFormat="1" ht="99.75" outlineLevel="1" x14ac:dyDescent="0.2">
      <c r="A109" s="4"/>
      <c r="B109" s="189" t="s">
        <v>183</v>
      </c>
      <c r="C109" s="495" t="s">
        <v>70</v>
      </c>
      <c r="D109" s="194" t="s">
        <v>184</v>
      </c>
      <c r="E109" s="67" t="s">
        <v>185</v>
      </c>
      <c r="F109" s="190">
        <v>0</v>
      </c>
      <c r="G109" s="190">
        <v>0</v>
      </c>
      <c r="H109" s="190">
        <v>0</v>
      </c>
      <c r="I109" s="190">
        <v>0</v>
      </c>
      <c r="J109" s="190">
        <v>0</v>
      </c>
      <c r="K109" s="110" t="s">
        <v>186</v>
      </c>
      <c r="L109" s="57"/>
      <c r="M109" s="4"/>
      <c r="N109" s="212" t="str">
        <f t="shared" ref="N109:O124" si="23">IF(B109="",N108,B109)</f>
        <v>Percentage expected to return to the surface (flowback fluid)</v>
      </c>
      <c r="O109" s="236" t="str">
        <f t="shared" si="23"/>
        <v>-</v>
      </c>
      <c r="P109" s="213" t="str">
        <f t="shared" si="17"/>
        <v/>
      </c>
      <c r="Q109" s="233"/>
      <c r="R109" s="215" t="str">
        <f t="shared" si="22"/>
        <v>%</v>
      </c>
    </row>
    <row r="110" spans="1:27" s="14" customFormat="1" ht="57" outlineLevel="1" x14ac:dyDescent="0.2">
      <c r="A110" s="4"/>
      <c r="B110" s="189" t="s">
        <v>187</v>
      </c>
      <c r="C110" s="495" t="s">
        <v>70</v>
      </c>
      <c r="D110" s="194" t="s">
        <v>184</v>
      </c>
      <c r="E110" s="67" t="s">
        <v>185</v>
      </c>
      <c r="F110" s="190">
        <v>0</v>
      </c>
      <c r="G110" s="190">
        <v>0</v>
      </c>
      <c r="H110" s="190">
        <v>0</v>
      </c>
      <c r="I110" s="190">
        <v>0</v>
      </c>
      <c r="J110" s="190">
        <v>0</v>
      </c>
      <c r="K110" s="110" t="s">
        <v>188</v>
      </c>
      <c r="L110" s="57"/>
      <c r="M110" s="4"/>
      <c r="N110" s="212" t="str">
        <f t="shared" si="23"/>
        <v>Evaporation rate expected</v>
      </c>
      <c r="O110" s="236" t="str">
        <f t="shared" si="23"/>
        <v>-</v>
      </c>
      <c r="P110" s="213" t="str">
        <f t="shared" si="17"/>
        <v/>
      </c>
      <c r="Q110" s="233"/>
      <c r="R110" s="215" t="str">
        <f t="shared" si="22"/>
        <v>%</v>
      </c>
    </row>
    <row r="111" spans="1:27" s="14" customFormat="1" ht="42.75" outlineLevel="1" x14ac:dyDescent="0.2">
      <c r="A111" s="4"/>
      <c r="B111" s="189" t="s">
        <v>189</v>
      </c>
      <c r="C111" s="196" t="s">
        <v>70</v>
      </c>
      <c r="D111" s="194" t="s">
        <v>87</v>
      </c>
      <c r="E111" s="67" t="s">
        <v>181</v>
      </c>
      <c r="F111" s="459">
        <f t="shared" ref="F111:J111" si="24">(F108*F109)-((F108*F109)*F110)</f>
        <v>0</v>
      </c>
      <c r="G111" s="383">
        <f t="shared" si="24"/>
        <v>0</v>
      </c>
      <c r="H111" s="383">
        <f t="shared" si="24"/>
        <v>0</v>
      </c>
      <c r="I111" s="383">
        <f t="shared" si="24"/>
        <v>0</v>
      </c>
      <c r="J111" s="383">
        <f t="shared" si="24"/>
        <v>0</v>
      </c>
      <c r="K111" s="110" t="s">
        <v>190</v>
      </c>
      <c r="L111" s="57"/>
      <c r="M111" s="4"/>
      <c r="N111" s="212" t="str">
        <f t="shared" si="23"/>
        <v>Volume to be disposed</v>
      </c>
      <c r="O111" s="213" t="str">
        <f t="shared" si="23"/>
        <v>-</v>
      </c>
      <c r="P111" s="213" t="str">
        <f>N107</f>
        <v>Hydraulic Fracking Fluid</v>
      </c>
      <c r="Q111" s="233">
        <v>1</v>
      </c>
      <c r="R111" s="215" t="str">
        <f t="shared" si="22"/>
        <v>ML</v>
      </c>
    </row>
    <row r="112" spans="1:27" s="14" customFormat="1" ht="71.25" outlineLevel="1" x14ac:dyDescent="0.2">
      <c r="A112" s="4"/>
      <c r="B112" s="477" t="s">
        <v>302</v>
      </c>
      <c r="C112" s="495" t="s">
        <v>70</v>
      </c>
      <c r="D112" s="194" t="s">
        <v>191</v>
      </c>
      <c r="E112" s="495" t="s">
        <v>192</v>
      </c>
      <c r="F112" s="237">
        <v>0</v>
      </c>
      <c r="G112" s="237">
        <v>0</v>
      </c>
      <c r="H112" s="237">
        <v>0</v>
      </c>
      <c r="I112" s="237">
        <v>0</v>
      </c>
      <c r="J112" s="237">
        <v>0</v>
      </c>
      <c r="K112" s="110" t="s">
        <v>193</v>
      </c>
      <c r="L112" s="57"/>
      <c r="M112" s="4"/>
      <c r="N112" s="212" t="str">
        <f t="shared" si="23"/>
        <v>Expected TDS after evaporation</v>
      </c>
      <c r="O112" s="236" t="str">
        <f t="shared" si="23"/>
        <v>-</v>
      </c>
      <c r="P112" s="213" t="str">
        <f t="shared" si="17"/>
        <v/>
      </c>
      <c r="Q112" s="233"/>
      <c r="R112" s="417" t="str">
        <f t="shared" si="22"/>
        <v>1 = 0-30g/L
2 = 30-50g/L
3 = 50-100g/L
4 = 100-150g/L
5 = 150-200g/L</v>
      </c>
    </row>
    <row r="113" spans="1:18" s="14" customFormat="1" outlineLevel="1" x14ac:dyDescent="0.2">
      <c r="A113" s="4"/>
      <c r="B113" s="438" t="s">
        <v>194</v>
      </c>
      <c r="C113" s="439"/>
      <c r="D113" s="439"/>
      <c r="E113" s="439"/>
      <c r="F113" s="439"/>
      <c r="G113" s="439"/>
      <c r="H113" s="439"/>
      <c r="I113" s="439"/>
      <c r="J113" s="439"/>
      <c r="K113" s="439"/>
      <c r="L113" s="440"/>
      <c r="M113" s="4"/>
      <c r="N113" s="212" t="str">
        <f t="shared" si="23"/>
        <v>Produced water (formation water)</v>
      </c>
      <c r="O113" s="213" t="str">
        <f t="shared" si="23"/>
        <v>-</v>
      </c>
      <c r="P113" s="213" t="str">
        <f t="shared" si="17"/>
        <v/>
      </c>
      <c r="Q113" s="233"/>
      <c r="R113" s="215">
        <f t="shared" si="22"/>
        <v>0</v>
      </c>
    </row>
    <row r="114" spans="1:18" s="14" customFormat="1" ht="128.25" outlineLevel="1" x14ac:dyDescent="0.2">
      <c r="A114" s="4"/>
      <c r="B114" s="189" t="s">
        <v>195</v>
      </c>
      <c r="C114" s="495" t="s">
        <v>70</v>
      </c>
      <c r="D114" s="193" t="s">
        <v>87</v>
      </c>
      <c r="E114" s="198" t="s">
        <v>181</v>
      </c>
      <c r="F114" s="222">
        <v>0</v>
      </c>
      <c r="G114" s="222">
        <v>0</v>
      </c>
      <c r="H114" s="222">
        <v>0</v>
      </c>
      <c r="I114" s="222">
        <v>0</v>
      </c>
      <c r="J114" s="222">
        <v>0</v>
      </c>
      <c r="K114" s="110" t="s">
        <v>196</v>
      </c>
      <c r="L114" s="57"/>
      <c r="M114" s="4"/>
      <c r="N114" s="212" t="str">
        <f t="shared" si="23"/>
        <v>Expected volume of produced water</v>
      </c>
      <c r="O114" s="236" t="str">
        <f t="shared" si="23"/>
        <v>-</v>
      </c>
      <c r="P114" s="213" t="str">
        <f t="shared" si="17"/>
        <v/>
      </c>
      <c r="Q114" s="233"/>
      <c r="R114" s="215" t="str">
        <f t="shared" si="22"/>
        <v>ML</v>
      </c>
    </row>
    <row r="115" spans="1:18" s="14" customFormat="1" ht="57" outlineLevel="1" x14ac:dyDescent="0.2">
      <c r="A115" s="4"/>
      <c r="B115" s="189" t="s">
        <v>187</v>
      </c>
      <c r="C115" s="495" t="s">
        <v>70</v>
      </c>
      <c r="D115" s="194" t="s">
        <v>184</v>
      </c>
      <c r="E115" s="67" t="s">
        <v>185</v>
      </c>
      <c r="F115" s="190">
        <v>0</v>
      </c>
      <c r="G115" s="190">
        <v>0</v>
      </c>
      <c r="H115" s="190">
        <v>0</v>
      </c>
      <c r="I115" s="190">
        <v>0</v>
      </c>
      <c r="J115" s="190">
        <v>0</v>
      </c>
      <c r="K115" s="110" t="s">
        <v>188</v>
      </c>
      <c r="L115" s="57"/>
      <c r="M115" s="4"/>
      <c r="N115" s="212" t="str">
        <f t="shared" si="23"/>
        <v>Evaporation rate expected</v>
      </c>
      <c r="O115" s="236" t="str">
        <f t="shared" si="23"/>
        <v>-</v>
      </c>
      <c r="P115" s="213" t="str">
        <f t="shared" si="17"/>
        <v/>
      </c>
      <c r="Q115" s="233"/>
      <c r="R115" s="215" t="str">
        <f t="shared" si="22"/>
        <v>%</v>
      </c>
    </row>
    <row r="116" spans="1:18" s="14" customFormat="1" ht="42.75" outlineLevel="1" x14ac:dyDescent="0.2">
      <c r="A116" s="4"/>
      <c r="B116" s="189" t="s">
        <v>189</v>
      </c>
      <c r="C116" s="196" t="s">
        <v>70</v>
      </c>
      <c r="D116" s="55" t="s">
        <v>87</v>
      </c>
      <c r="E116" s="198" t="s">
        <v>181</v>
      </c>
      <c r="F116" s="383">
        <f t="shared" ref="F116:J116" si="25">F114-(F114*F115)</f>
        <v>0</v>
      </c>
      <c r="G116" s="383">
        <f t="shared" si="25"/>
        <v>0</v>
      </c>
      <c r="H116" s="383">
        <f t="shared" si="25"/>
        <v>0</v>
      </c>
      <c r="I116" s="383">
        <f t="shared" si="25"/>
        <v>0</v>
      </c>
      <c r="J116" s="383">
        <f t="shared" si="25"/>
        <v>0</v>
      </c>
      <c r="K116" s="110" t="s">
        <v>190</v>
      </c>
      <c r="L116" s="57"/>
      <c r="M116" s="4"/>
      <c r="N116" s="216" t="str">
        <f t="shared" si="23"/>
        <v>Volume to be disposed</v>
      </c>
      <c r="O116" s="236" t="str">
        <f t="shared" si="23"/>
        <v>-</v>
      </c>
      <c r="P116" s="213" t="str">
        <f>N113</f>
        <v>Produced water (formation water)</v>
      </c>
      <c r="Q116" s="233">
        <v>1</v>
      </c>
      <c r="R116" s="215" t="str">
        <f t="shared" si="22"/>
        <v>ML</v>
      </c>
    </row>
    <row r="117" spans="1:18" s="14" customFormat="1" ht="71.25" outlineLevel="1" x14ac:dyDescent="0.2">
      <c r="A117" s="4"/>
      <c r="B117" s="477" t="s">
        <v>302</v>
      </c>
      <c r="C117" s="196" t="s">
        <v>70</v>
      </c>
      <c r="D117" s="55" t="s">
        <v>191</v>
      </c>
      <c r="E117" s="199" t="s">
        <v>192</v>
      </c>
      <c r="F117" s="237">
        <v>0</v>
      </c>
      <c r="G117" s="237">
        <v>0</v>
      </c>
      <c r="H117" s="237">
        <v>0</v>
      </c>
      <c r="I117" s="237">
        <v>0</v>
      </c>
      <c r="J117" s="237">
        <v>0</v>
      </c>
      <c r="K117" s="110" t="s">
        <v>193</v>
      </c>
      <c r="L117" s="57"/>
      <c r="M117" s="4"/>
      <c r="N117" s="212" t="str">
        <f t="shared" si="23"/>
        <v>Expected TDS after evaporation</v>
      </c>
      <c r="O117" s="236" t="str">
        <f t="shared" si="23"/>
        <v>-</v>
      </c>
      <c r="P117" s="213" t="str">
        <f t="shared" si="17"/>
        <v/>
      </c>
      <c r="Q117" s="416"/>
      <c r="R117" s="417" t="str">
        <f t="shared" si="22"/>
        <v>1 = 0-30g/L
2 = 30-50g/L
3 = 50-100g/L
4 = 100-150g/L
5 = 150-200g/L</v>
      </c>
    </row>
    <row r="118" spans="1:18" s="14" customFormat="1" outlineLevel="1" x14ac:dyDescent="0.2">
      <c r="A118" s="4"/>
      <c r="B118" s="435" t="s">
        <v>197</v>
      </c>
      <c r="C118" s="436"/>
      <c r="D118" s="436"/>
      <c r="E118" s="436"/>
      <c r="F118" s="436"/>
      <c r="G118" s="436"/>
      <c r="H118" s="436"/>
      <c r="I118" s="436"/>
      <c r="J118" s="436"/>
      <c r="K118" s="436"/>
      <c r="L118" s="437"/>
      <c r="M118" s="4"/>
      <c r="N118" s="212" t="str">
        <f t="shared" si="23"/>
        <v>Other Wastewater</v>
      </c>
      <c r="O118" s="213" t="str">
        <f t="shared" si="23"/>
        <v>-</v>
      </c>
      <c r="P118" s="213" t="str">
        <f t="shared" si="17"/>
        <v/>
      </c>
      <c r="Q118" s="233"/>
      <c r="R118" s="215">
        <f t="shared" si="22"/>
        <v>0</v>
      </c>
    </row>
    <row r="119" spans="1:18" s="14" customFormat="1" ht="42.75" outlineLevel="1" x14ac:dyDescent="0.2">
      <c r="A119" s="4"/>
      <c r="B119" s="189" t="s">
        <v>198</v>
      </c>
      <c r="C119" s="495" t="s">
        <v>70</v>
      </c>
      <c r="D119" s="193" t="s">
        <v>87</v>
      </c>
      <c r="E119" s="198" t="s">
        <v>181</v>
      </c>
      <c r="F119" s="222">
        <v>0</v>
      </c>
      <c r="G119" s="222">
        <v>0</v>
      </c>
      <c r="H119" s="222">
        <v>0</v>
      </c>
      <c r="I119" s="222">
        <v>0</v>
      </c>
      <c r="J119" s="222">
        <v>0</v>
      </c>
      <c r="K119" s="110" t="s">
        <v>199</v>
      </c>
      <c r="L119" s="57"/>
      <c r="M119" s="4"/>
      <c r="N119" s="212" t="str">
        <f t="shared" si="23"/>
        <v>Expected volume of other wastewater</v>
      </c>
      <c r="O119" s="235" t="str">
        <f t="shared" si="23"/>
        <v>-</v>
      </c>
      <c r="P119" s="213" t="str">
        <f t="shared" si="17"/>
        <v/>
      </c>
      <c r="Q119" s="233"/>
      <c r="R119" s="215" t="str">
        <f t="shared" si="22"/>
        <v>ML</v>
      </c>
    </row>
    <row r="120" spans="1:18" s="14" customFormat="1" ht="56.65" customHeight="1" outlineLevel="1" x14ac:dyDescent="0.2">
      <c r="A120" s="4"/>
      <c r="B120" s="189" t="s">
        <v>187</v>
      </c>
      <c r="C120" s="196" t="s">
        <v>70</v>
      </c>
      <c r="D120" s="194" t="s">
        <v>184</v>
      </c>
      <c r="E120" s="67" t="s">
        <v>185</v>
      </c>
      <c r="F120" s="190">
        <v>0</v>
      </c>
      <c r="G120" s="190">
        <v>0</v>
      </c>
      <c r="H120" s="190">
        <v>0</v>
      </c>
      <c r="I120" s="190">
        <v>0</v>
      </c>
      <c r="J120" s="190">
        <v>0</v>
      </c>
      <c r="K120" s="110" t="s">
        <v>200</v>
      </c>
      <c r="L120" s="57"/>
      <c r="M120" s="4"/>
      <c r="N120" s="212" t="str">
        <f t="shared" si="23"/>
        <v>Evaporation rate expected</v>
      </c>
      <c r="O120" s="235" t="str">
        <f t="shared" si="23"/>
        <v>-</v>
      </c>
      <c r="P120" s="213" t="str">
        <f t="shared" si="17"/>
        <v/>
      </c>
      <c r="Q120" s="233"/>
      <c r="R120" s="215" t="str">
        <f t="shared" si="22"/>
        <v>%</v>
      </c>
    </row>
    <row r="121" spans="1:18" s="14" customFormat="1" ht="44.65" customHeight="1" outlineLevel="1" x14ac:dyDescent="0.2">
      <c r="A121" s="4"/>
      <c r="B121" s="189" t="s">
        <v>189</v>
      </c>
      <c r="C121" s="495" t="s">
        <v>70</v>
      </c>
      <c r="D121" s="193" t="s">
        <v>87</v>
      </c>
      <c r="E121" s="198" t="s">
        <v>181</v>
      </c>
      <c r="F121" s="383">
        <f t="shared" ref="F121:J121" si="26">F119-(F119*F120)</f>
        <v>0</v>
      </c>
      <c r="G121" s="383">
        <f t="shared" si="26"/>
        <v>0</v>
      </c>
      <c r="H121" s="383">
        <f t="shared" si="26"/>
        <v>0</v>
      </c>
      <c r="I121" s="383">
        <f t="shared" si="26"/>
        <v>0</v>
      </c>
      <c r="J121" s="383">
        <f t="shared" si="26"/>
        <v>0</v>
      </c>
      <c r="K121" s="110" t="s">
        <v>190</v>
      </c>
      <c r="L121" s="57"/>
      <c r="M121" s="4"/>
      <c r="N121" s="212" t="str">
        <f t="shared" si="23"/>
        <v>Volume to be disposed</v>
      </c>
      <c r="O121" s="235" t="str">
        <f t="shared" si="23"/>
        <v>-</v>
      </c>
      <c r="P121" s="213" t="str">
        <f>N118</f>
        <v>Other Wastewater</v>
      </c>
      <c r="Q121" s="233">
        <v>1</v>
      </c>
      <c r="R121" s="215" t="str">
        <f t="shared" si="22"/>
        <v>ML</v>
      </c>
    </row>
    <row r="122" spans="1:18" s="14" customFormat="1" ht="71.25" outlineLevel="1" x14ac:dyDescent="0.2">
      <c r="A122" s="4"/>
      <c r="B122" s="477" t="s">
        <v>302</v>
      </c>
      <c r="C122" s="196" t="s">
        <v>70</v>
      </c>
      <c r="D122" s="55" t="s">
        <v>191</v>
      </c>
      <c r="E122" s="199" t="s">
        <v>192</v>
      </c>
      <c r="F122" s="237">
        <v>0</v>
      </c>
      <c r="G122" s="237">
        <v>0</v>
      </c>
      <c r="H122" s="237">
        <v>0</v>
      </c>
      <c r="I122" s="237">
        <v>0</v>
      </c>
      <c r="J122" s="237">
        <v>0</v>
      </c>
      <c r="K122" s="110" t="s">
        <v>193</v>
      </c>
      <c r="L122" s="57"/>
      <c r="M122" s="4"/>
      <c r="N122" s="212" t="str">
        <f t="shared" si="23"/>
        <v>Expected TDS after evaporation</v>
      </c>
      <c r="O122" s="235" t="str">
        <f t="shared" si="23"/>
        <v>-</v>
      </c>
      <c r="P122" s="213" t="str">
        <f t="shared" si="17"/>
        <v/>
      </c>
      <c r="Q122" s="233"/>
      <c r="R122" s="417" t="str">
        <f t="shared" si="22"/>
        <v>1 = 0-30g/L
2 = 30-50g/L
3 = 50-100g/L
4 = 100-150g/L
5 = 150-200g/L</v>
      </c>
    </row>
    <row r="123" spans="1:18" s="14" customFormat="1" ht="36" customHeight="1" outlineLevel="1" x14ac:dyDescent="0.2">
      <c r="A123" s="4"/>
      <c r="B123" s="438" t="s">
        <v>201</v>
      </c>
      <c r="C123" s="436"/>
      <c r="D123" s="436"/>
      <c r="E123" s="436"/>
      <c r="F123" s="436"/>
      <c r="G123" s="436"/>
      <c r="H123" s="436"/>
      <c r="I123" s="436"/>
      <c r="J123" s="436"/>
      <c r="K123" s="436"/>
      <c r="L123" s="437"/>
      <c r="M123" s="4"/>
      <c r="N123" s="212" t="str">
        <f t="shared" si="23"/>
        <v>Drilling Muds and Cuttings</v>
      </c>
      <c r="O123" s="236" t="str">
        <f t="shared" si="23"/>
        <v>-</v>
      </c>
      <c r="P123" s="213" t="str">
        <f t="shared" si="17"/>
        <v/>
      </c>
      <c r="Q123" s="233"/>
      <c r="R123" s="215"/>
    </row>
    <row r="124" spans="1:18" s="14" customFormat="1" ht="71.650000000000006" customHeight="1" outlineLevel="1" x14ac:dyDescent="0.2">
      <c r="A124" s="4"/>
      <c r="B124" s="189" t="s">
        <v>304</v>
      </c>
      <c r="C124" s="495" t="s">
        <v>70</v>
      </c>
      <c r="D124" s="194" t="s">
        <v>87</v>
      </c>
      <c r="E124" s="67" t="s">
        <v>133</v>
      </c>
      <c r="F124" s="222">
        <v>0</v>
      </c>
      <c r="G124" s="222">
        <v>0</v>
      </c>
      <c r="H124" s="222">
        <v>0</v>
      </c>
      <c r="I124" s="222">
        <v>0</v>
      </c>
      <c r="J124" s="222">
        <v>0</v>
      </c>
      <c r="K124" s="491" t="s">
        <v>317</v>
      </c>
      <c r="L124" s="57"/>
      <c r="M124" s="4"/>
      <c r="N124" s="212" t="str">
        <f t="shared" si="23"/>
        <v>Expected volume of drilling muds and cuttings</v>
      </c>
      <c r="O124" s="236" t="str">
        <f t="shared" si="23"/>
        <v>-</v>
      </c>
      <c r="P124" s="213" t="str">
        <f t="shared" si="17"/>
        <v/>
      </c>
      <c r="Q124" s="233"/>
      <c r="R124" s="215"/>
    </row>
    <row r="125" spans="1:18" s="14" customFormat="1" ht="37.5" customHeight="1" outlineLevel="1" x14ac:dyDescent="0.2">
      <c r="A125" s="4"/>
      <c r="B125" s="189" t="s">
        <v>187</v>
      </c>
      <c r="C125" s="495" t="s">
        <v>70</v>
      </c>
      <c r="D125" s="194" t="s">
        <v>184</v>
      </c>
      <c r="E125" s="198" t="s">
        <v>185</v>
      </c>
      <c r="F125" s="190">
        <v>0</v>
      </c>
      <c r="G125" s="190">
        <v>0</v>
      </c>
      <c r="H125" s="190">
        <v>0</v>
      </c>
      <c r="I125" s="190">
        <v>0</v>
      </c>
      <c r="J125" s="190">
        <v>0</v>
      </c>
      <c r="K125" s="110" t="s">
        <v>202</v>
      </c>
      <c r="L125" s="57"/>
      <c r="M125" s="4"/>
      <c r="N125" s="212" t="str">
        <f t="shared" ref="N125:O129" si="27">IF(B125="",N124,B125)</f>
        <v>Evaporation rate expected</v>
      </c>
      <c r="O125" s="236" t="str">
        <f t="shared" si="27"/>
        <v>-</v>
      </c>
      <c r="P125" s="213" t="str">
        <f t="shared" si="17"/>
        <v/>
      </c>
      <c r="Q125" s="233"/>
      <c r="R125" s="215"/>
    </row>
    <row r="126" spans="1:18" s="14" customFormat="1" ht="40.15" customHeight="1" outlineLevel="1" x14ac:dyDescent="0.2">
      <c r="A126" s="4"/>
      <c r="B126" s="477" t="s">
        <v>189</v>
      </c>
      <c r="C126" s="495" t="s">
        <v>70</v>
      </c>
      <c r="D126" s="194" t="s">
        <v>87</v>
      </c>
      <c r="E126" s="198" t="s">
        <v>169</v>
      </c>
      <c r="F126" s="383">
        <f>F124-(F124*F125)</f>
        <v>0</v>
      </c>
      <c r="G126" s="383">
        <f t="shared" ref="G126:J126" si="28">G124-(G124*G125)</f>
        <v>0</v>
      </c>
      <c r="H126" s="383">
        <f t="shared" si="28"/>
        <v>0</v>
      </c>
      <c r="I126" s="383">
        <f t="shared" si="28"/>
        <v>0</v>
      </c>
      <c r="J126" s="383">
        <f t="shared" si="28"/>
        <v>0</v>
      </c>
      <c r="K126" s="110" t="s">
        <v>190</v>
      </c>
      <c r="L126" s="57"/>
      <c r="M126" s="4"/>
      <c r="N126" s="212" t="str">
        <f t="shared" si="27"/>
        <v>Volume to be disposed</v>
      </c>
      <c r="O126" s="236" t="str">
        <f t="shared" si="27"/>
        <v>-</v>
      </c>
      <c r="P126" s="213" t="str">
        <f>N123</f>
        <v>Drilling Muds and Cuttings</v>
      </c>
      <c r="Q126" s="233">
        <v>1</v>
      </c>
      <c r="R126" s="215"/>
    </row>
    <row r="127" spans="1:18" s="14" customFormat="1" ht="71.25" outlineLevel="1" x14ac:dyDescent="0.2">
      <c r="A127" s="4"/>
      <c r="B127" s="477" t="s">
        <v>302</v>
      </c>
      <c r="C127" s="495" t="s">
        <v>70</v>
      </c>
      <c r="D127" s="194" t="s">
        <v>191</v>
      </c>
      <c r="E127" s="199" t="s">
        <v>192</v>
      </c>
      <c r="F127" s="237">
        <v>0</v>
      </c>
      <c r="G127" s="237">
        <v>0</v>
      </c>
      <c r="H127" s="237">
        <v>0</v>
      </c>
      <c r="I127" s="237">
        <v>0</v>
      </c>
      <c r="J127" s="237">
        <v>0</v>
      </c>
      <c r="K127" s="110" t="s">
        <v>203</v>
      </c>
      <c r="L127" s="57"/>
      <c r="M127" s="4"/>
      <c r="N127" s="212" t="str">
        <f t="shared" si="27"/>
        <v>Expected TDS after evaporation</v>
      </c>
      <c r="O127" s="236" t="str">
        <f t="shared" si="27"/>
        <v>-</v>
      </c>
      <c r="P127" s="213" t="str">
        <f t="shared" si="17"/>
        <v/>
      </c>
      <c r="Q127" s="233"/>
      <c r="R127" s="215"/>
    </row>
    <row r="128" spans="1:18" s="14" customFormat="1" ht="28.5" outlineLevel="1" x14ac:dyDescent="0.2">
      <c r="A128" s="4"/>
      <c r="B128" s="71" t="s">
        <v>130</v>
      </c>
      <c r="C128" s="495" t="s">
        <v>70</v>
      </c>
      <c r="D128" s="194" t="s">
        <v>82</v>
      </c>
      <c r="E128" s="198" t="s">
        <v>222</v>
      </c>
      <c r="F128" s="222">
        <v>0</v>
      </c>
      <c r="G128" s="222">
        <v>0</v>
      </c>
      <c r="H128" s="222">
        <v>0</v>
      </c>
      <c r="I128" s="222">
        <v>0</v>
      </c>
      <c r="J128" s="222">
        <v>0</v>
      </c>
      <c r="K128" s="110" t="s">
        <v>204</v>
      </c>
      <c r="L128" s="57"/>
      <c r="M128" s="4"/>
      <c r="N128" s="212" t="str">
        <f t="shared" si="27"/>
        <v>Liners</v>
      </c>
      <c r="O128" s="236" t="str">
        <f>IF(C128="",O123,C128)</f>
        <v>-</v>
      </c>
      <c r="P128" s="213" t="str">
        <f t="shared" si="17"/>
        <v>Liners</v>
      </c>
      <c r="Q128" s="233">
        <v>1</v>
      </c>
      <c r="R128" s="215" t="str">
        <f t="shared" si="22"/>
        <v>m2</v>
      </c>
    </row>
    <row r="129" spans="1:20" s="14" customFormat="1" ht="43.5" outlineLevel="1" thickBot="1" x14ac:dyDescent="0.25">
      <c r="A129" s="4"/>
      <c r="B129" s="58" t="s">
        <v>132</v>
      </c>
      <c r="C129" s="72" t="s">
        <v>70</v>
      </c>
      <c r="D129" s="201" t="s">
        <v>87</v>
      </c>
      <c r="E129" s="200" t="s">
        <v>133</v>
      </c>
      <c r="F129" s="238">
        <v>0</v>
      </c>
      <c r="G129" s="238">
        <v>0</v>
      </c>
      <c r="H129" s="238">
        <v>0</v>
      </c>
      <c r="I129" s="238">
        <v>0</v>
      </c>
      <c r="J129" s="238">
        <v>0</v>
      </c>
      <c r="K129" s="111" t="s">
        <v>205</v>
      </c>
      <c r="L129" s="59"/>
      <c r="M129" s="4"/>
      <c r="N129" s="217" t="str">
        <f t="shared" si="27"/>
        <v>Well pad materials</v>
      </c>
      <c r="O129" s="418" t="str">
        <f t="shared" si="27"/>
        <v>-</v>
      </c>
      <c r="P129" s="218" t="str">
        <f t="shared" si="17"/>
        <v>Well pad materials</v>
      </c>
      <c r="Q129" s="234">
        <v>1</v>
      </c>
      <c r="R129" s="220" t="str">
        <f t="shared" si="22"/>
        <v>m3</v>
      </c>
    </row>
    <row r="130" spans="1:20" x14ac:dyDescent="0.2">
      <c r="N130" s="163"/>
      <c r="O130" s="163"/>
      <c r="P130" s="164" t="s">
        <v>206</v>
      </c>
      <c r="Q130" s="205">
        <f>SUM(Q26:Q129)</f>
        <v>37</v>
      </c>
      <c r="R130" s="165" t="s">
        <v>274</v>
      </c>
      <c r="S130" s="14"/>
      <c r="T130" s="14"/>
    </row>
    <row r="131" spans="1:20" ht="15" thickBot="1" x14ac:dyDescent="0.25">
      <c r="B131" s="207" t="str">
        <f ca="1">"Table "&amp;$N$9&amp;".3 Summary of units used to calculate the security value by disturbance category"</f>
        <v>Table 6.3 Summary of units used to calculate the security value by disturbance category</v>
      </c>
      <c r="N131" s="155"/>
      <c r="O131" s="155"/>
      <c r="P131" s="155"/>
      <c r="Q131" s="155"/>
      <c r="R131" s="14"/>
      <c r="S131" s="14"/>
      <c r="T131" s="14"/>
    </row>
    <row r="132" spans="1:20" s="159" customFormat="1" ht="36.75" thickBot="1" x14ac:dyDescent="0.25">
      <c r="A132" s="4"/>
      <c r="B132" s="628" t="s">
        <v>207</v>
      </c>
      <c r="C132" s="629"/>
      <c r="D132" s="630"/>
      <c r="E132" s="125" t="s">
        <v>55</v>
      </c>
      <c r="F132" s="23" t="s">
        <v>17</v>
      </c>
      <c r="G132" s="23" t="s">
        <v>150</v>
      </c>
      <c r="H132" s="23" t="s">
        <v>19</v>
      </c>
      <c r="I132" s="23" t="s">
        <v>20</v>
      </c>
      <c r="J132" s="441" t="s">
        <v>21</v>
      </c>
      <c r="K132" s="485"/>
      <c r="L132" s="4"/>
      <c r="M132" s="4"/>
      <c r="N132" s="163"/>
      <c r="O132" s="163"/>
      <c r="P132" s="164" t="s">
        <v>275</v>
      </c>
      <c r="Q132" s="205">
        <f>COUNTA(B133:D169)</f>
        <v>37</v>
      </c>
      <c r="R132" s="165"/>
      <c r="S132" s="166"/>
      <c r="T132" s="166"/>
    </row>
    <row r="133" spans="1:20" s="14" customFormat="1" x14ac:dyDescent="0.2">
      <c r="A133" s="4"/>
      <c r="B133" s="621" t="str">
        <f>B26</f>
        <v>Seismic lines</v>
      </c>
      <c r="C133" s="622"/>
      <c r="D133" s="622"/>
      <c r="E133" s="44" t="s">
        <v>64</v>
      </c>
      <c r="F133" s="239">
        <f>SUMIF($P$26:$P$129,$B133,F$26:F$129)</f>
        <v>0</v>
      </c>
      <c r="G133" s="239">
        <f>SUMIF($P$26:$P$129,$B133,G$26:G$129)</f>
        <v>0</v>
      </c>
      <c r="H133" s="239">
        <f>SUMIF($P$26:$P$129,$B133,H$26:H$129)</f>
        <v>0</v>
      </c>
      <c r="I133" s="239">
        <f>SUMIF($P$26:$P$129,$B133,I$26:I$129)</f>
        <v>0</v>
      </c>
      <c r="J133" s="240">
        <f>SUMIF($P$26:$P$129,$B133,J$26:J$129)</f>
        <v>0</v>
      </c>
      <c r="K133" s="485"/>
      <c r="L133" s="4"/>
      <c r="M133" s="4"/>
    </row>
    <row r="134" spans="1:20" s="14" customFormat="1" x14ac:dyDescent="0.2">
      <c r="A134" s="4"/>
      <c r="B134" s="621" t="str">
        <f>B29</f>
        <v>Flowline right of ways - By track</v>
      </c>
      <c r="C134" s="622"/>
      <c r="D134" s="622"/>
      <c r="E134" s="44" t="s">
        <v>136</v>
      </c>
      <c r="F134" s="239">
        <f t="shared" ref="F134:J169" si="29">SUMIF($P$26:$P$129,$B134,F$26:F$129)</f>
        <v>0</v>
      </c>
      <c r="G134" s="239">
        <f t="shared" si="29"/>
        <v>0</v>
      </c>
      <c r="H134" s="239">
        <f t="shared" si="29"/>
        <v>0</v>
      </c>
      <c r="I134" s="239">
        <f t="shared" si="29"/>
        <v>0</v>
      </c>
      <c r="J134" s="240">
        <f t="shared" si="29"/>
        <v>0</v>
      </c>
      <c r="K134" s="485"/>
      <c r="L134" s="4"/>
      <c r="M134" s="4"/>
    </row>
    <row r="135" spans="1:20" s="14" customFormat="1" x14ac:dyDescent="0.2">
      <c r="A135" s="4"/>
      <c r="B135" s="621" t="str">
        <f>B30</f>
        <v>Flowline right of ways - Not by track</v>
      </c>
      <c r="C135" s="622"/>
      <c r="D135" s="622"/>
      <c r="E135" s="44" t="s">
        <v>136</v>
      </c>
      <c r="F135" s="239">
        <f t="shared" si="29"/>
        <v>0</v>
      </c>
      <c r="G135" s="239">
        <f t="shared" si="29"/>
        <v>0</v>
      </c>
      <c r="H135" s="239">
        <f t="shared" si="29"/>
        <v>0</v>
      </c>
      <c r="I135" s="239">
        <f t="shared" si="29"/>
        <v>0</v>
      </c>
      <c r="J135" s="240">
        <f t="shared" si="29"/>
        <v>0</v>
      </c>
      <c r="K135" s="485"/>
      <c r="L135" s="4"/>
      <c r="M135" s="4"/>
    </row>
    <row r="136" spans="1:20" s="14" customFormat="1" x14ac:dyDescent="0.2">
      <c r="A136" s="4"/>
      <c r="B136" s="621" t="str">
        <f>B31</f>
        <v>Access track (existing)</v>
      </c>
      <c r="C136" s="622"/>
      <c r="D136" s="622"/>
      <c r="E136" s="44" t="s">
        <v>64</v>
      </c>
      <c r="F136" s="239">
        <f t="shared" si="29"/>
        <v>0</v>
      </c>
      <c r="G136" s="239">
        <f t="shared" si="29"/>
        <v>0</v>
      </c>
      <c r="H136" s="239">
        <f t="shared" si="29"/>
        <v>0</v>
      </c>
      <c r="I136" s="239">
        <f t="shared" si="29"/>
        <v>0</v>
      </c>
      <c r="J136" s="240">
        <f t="shared" si="29"/>
        <v>0</v>
      </c>
      <c r="K136" s="485"/>
      <c r="L136" s="4"/>
      <c r="M136" s="4"/>
      <c r="N136" s="163"/>
      <c r="O136" s="163"/>
      <c r="P136" s="164" t="s">
        <v>208</v>
      </c>
      <c r="Q136" s="205">
        <f>COUNTA(C173:C209)</f>
        <v>37</v>
      </c>
      <c r="R136" s="165"/>
    </row>
    <row r="137" spans="1:20" s="14" customFormat="1" x14ac:dyDescent="0.2">
      <c r="A137" s="4"/>
      <c r="B137" s="621" t="str">
        <f>CONCATENATE(B34," - ",C34)</f>
        <v>Access track (new) - No seeding</v>
      </c>
      <c r="C137" s="622"/>
      <c r="D137" s="622"/>
      <c r="E137" s="44" t="s">
        <v>64</v>
      </c>
      <c r="F137" s="239">
        <f t="shared" si="29"/>
        <v>0</v>
      </c>
      <c r="G137" s="239">
        <f t="shared" si="29"/>
        <v>0</v>
      </c>
      <c r="H137" s="239">
        <f t="shared" si="29"/>
        <v>0</v>
      </c>
      <c r="I137" s="239">
        <f t="shared" si="29"/>
        <v>0</v>
      </c>
      <c r="J137" s="240">
        <f t="shared" si="29"/>
        <v>0</v>
      </c>
      <c r="K137" s="485"/>
      <c r="L137" s="4"/>
      <c r="M137" s="4"/>
      <c r="N137" s="155"/>
      <c r="O137" s="155"/>
      <c r="P137" s="155"/>
      <c r="Q137" s="155"/>
    </row>
    <row r="138" spans="1:20" s="14" customFormat="1" x14ac:dyDescent="0.2">
      <c r="A138" s="4"/>
      <c r="B138" s="621" t="str">
        <f>CONCATENATE(B37," - ",C37)</f>
        <v>Access track (new) - With seeding</v>
      </c>
      <c r="C138" s="622"/>
      <c r="D138" s="622"/>
      <c r="E138" s="44" t="s">
        <v>64</v>
      </c>
      <c r="F138" s="239">
        <f t="shared" si="29"/>
        <v>0</v>
      </c>
      <c r="G138" s="239">
        <f t="shared" si="29"/>
        <v>0</v>
      </c>
      <c r="H138" s="239">
        <f t="shared" si="29"/>
        <v>0</v>
      </c>
      <c r="I138" s="239">
        <f t="shared" si="29"/>
        <v>0</v>
      </c>
      <c r="J138" s="240">
        <f t="shared" si="29"/>
        <v>0</v>
      </c>
      <c r="K138" s="485"/>
      <c r="L138" s="4"/>
      <c r="M138" s="4"/>
      <c r="N138" s="155"/>
      <c r="O138" s="155"/>
      <c r="P138" s="155"/>
      <c r="Q138" s="155"/>
    </row>
    <row r="139" spans="1:20" s="14" customFormat="1" x14ac:dyDescent="0.2">
      <c r="A139" s="4"/>
      <c r="B139" s="621" t="str">
        <f>CONCATENATE(B40," - ",C40)</f>
        <v>Laydown areas - With seeding, with ripping</v>
      </c>
      <c r="C139" s="622"/>
      <c r="D139" s="622"/>
      <c r="E139" s="44" t="s">
        <v>64</v>
      </c>
      <c r="F139" s="239">
        <f t="shared" si="29"/>
        <v>0</v>
      </c>
      <c r="G139" s="239">
        <f t="shared" si="29"/>
        <v>0</v>
      </c>
      <c r="H139" s="239">
        <f t="shared" si="29"/>
        <v>0</v>
      </c>
      <c r="I139" s="239">
        <f t="shared" si="29"/>
        <v>0</v>
      </c>
      <c r="J139" s="240">
        <f t="shared" si="29"/>
        <v>0</v>
      </c>
      <c r="K139" s="485"/>
      <c r="L139" s="4"/>
      <c r="M139" s="4"/>
      <c r="N139" s="155"/>
      <c r="O139" s="155"/>
      <c r="P139" s="155"/>
      <c r="Q139" s="155"/>
    </row>
    <row r="140" spans="1:20" s="14" customFormat="1" x14ac:dyDescent="0.2">
      <c r="A140" s="4"/>
      <c r="B140" s="621" t="str">
        <f>CONCATENATE(B43," - ",C43)</f>
        <v>Laydown areas - With seeding, no ripping</v>
      </c>
      <c r="C140" s="622"/>
      <c r="D140" s="622"/>
      <c r="E140" s="44" t="s">
        <v>64</v>
      </c>
      <c r="F140" s="239">
        <f t="shared" si="29"/>
        <v>0</v>
      </c>
      <c r="G140" s="239">
        <f t="shared" si="29"/>
        <v>0</v>
      </c>
      <c r="H140" s="239">
        <f t="shared" si="29"/>
        <v>0</v>
      </c>
      <c r="I140" s="239">
        <f t="shared" si="29"/>
        <v>0</v>
      </c>
      <c r="J140" s="240">
        <f t="shared" si="29"/>
        <v>0</v>
      </c>
      <c r="K140" s="485"/>
      <c r="L140" s="4"/>
      <c r="M140" s="4"/>
      <c r="N140" s="155"/>
      <c r="O140" s="155"/>
      <c r="P140" s="155"/>
      <c r="Q140" s="155"/>
    </row>
    <row r="141" spans="1:20" s="14" customFormat="1" x14ac:dyDescent="0.2">
      <c r="A141" s="4"/>
      <c r="B141" s="621" t="str">
        <f>CONCATENATE(B46," - ",C46)</f>
        <v>Laydown areas - No seeding, with ripping</v>
      </c>
      <c r="C141" s="622"/>
      <c r="D141" s="622"/>
      <c r="E141" s="44" t="s">
        <v>64</v>
      </c>
      <c r="F141" s="239">
        <f t="shared" si="29"/>
        <v>0</v>
      </c>
      <c r="G141" s="239">
        <f t="shared" si="29"/>
        <v>0</v>
      </c>
      <c r="H141" s="239">
        <f t="shared" si="29"/>
        <v>0</v>
      </c>
      <c r="I141" s="239">
        <f t="shared" si="29"/>
        <v>0</v>
      </c>
      <c r="J141" s="240">
        <f t="shared" si="29"/>
        <v>0</v>
      </c>
      <c r="K141" s="485"/>
      <c r="L141" s="4"/>
      <c r="M141" s="4"/>
      <c r="N141" s="155"/>
      <c r="O141" s="155"/>
      <c r="P141" s="155"/>
      <c r="Q141" s="155"/>
    </row>
    <row r="142" spans="1:20" s="14" customFormat="1" x14ac:dyDescent="0.2">
      <c r="A142" s="4"/>
      <c r="B142" s="621" t="str">
        <f>CONCATENATE(B49," - ",C49)</f>
        <v>Laydown areas - No seeding, no ripping</v>
      </c>
      <c r="C142" s="622"/>
      <c r="D142" s="622"/>
      <c r="E142" s="44" t="s">
        <v>64</v>
      </c>
      <c r="F142" s="239">
        <f t="shared" si="29"/>
        <v>0</v>
      </c>
      <c r="G142" s="239">
        <f t="shared" si="29"/>
        <v>0</v>
      </c>
      <c r="H142" s="239">
        <f t="shared" si="29"/>
        <v>0</v>
      </c>
      <c r="I142" s="239">
        <f t="shared" si="29"/>
        <v>0</v>
      </c>
      <c r="J142" s="240">
        <f t="shared" si="29"/>
        <v>0</v>
      </c>
      <c r="K142" s="485"/>
      <c r="L142" s="4"/>
      <c r="M142" s="4"/>
      <c r="N142" s="155"/>
      <c r="O142" s="155"/>
      <c r="P142" s="155"/>
      <c r="Q142" s="155"/>
    </row>
    <row r="143" spans="1:20" s="14" customFormat="1" x14ac:dyDescent="0.2">
      <c r="A143" s="4"/>
      <c r="B143" s="621" t="str">
        <f>B52</f>
        <v>Gravel pits</v>
      </c>
      <c r="C143" s="622"/>
      <c r="D143" s="622"/>
      <c r="E143" s="44" t="s">
        <v>64</v>
      </c>
      <c r="F143" s="239">
        <f t="shared" si="29"/>
        <v>0</v>
      </c>
      <c r="G143" s="239">
        <f t="shared" si="29"/>
        <v>0</v>
      </c>
      <c r="H143" s="239">
        <f t="shared" si="29"/>
        <v>0</v>
      </c>
      <c r="I143" s="239">
        <f t="shared" si="29"/>
        <v>0</v>
      </c>
      <c r="J143" s="240">
        <f t="shared" si="29"/>
        <v>0</v>
      </c>
      <c r="K143" s="485"/>
      <c r="L143" s="4"/>
      <c r="M143" s="4"/>
      <c r="N143" s="155"/>
      <c r="O143" s="155"/>
      <c r="P143" s="155"/>
      <c r="Q143" s="155"/>
    </row>
    <row r="144" spans="1:20" s="14" customFormat="1" x14ac:dyDescent="0.2">
      <c r="A144" s="4"/>
      <c r="B144" s="621" t="str">
        <f>B56</f>
        <v>Well pad</v>
      </c>
      <c r="C144" s="622"/>
      <c r="D144" s="622"/>
      <c r="E144" s="44" t="s">
        <v>64</v>
      </c>
      <c r="F144" s="239">
        <f t="shared" si="29"/>
        <v>0</v>
      </c>
      <c r="G144" s="239">
        <f t="shared" si="29"/>
        <v>0</v>
      </c>
      <c r="H144" s="239">
        <f t="shared" si="29"/>
        <v>0</v>
      </c>
      <c r="I144" s="239">
        <f t="shared" si="29"/>
        <v>0</v>
      </c>
      <c r="J144" s="240">
        <f t="shared" si="29"/>
        <v>0</v>
      </c>
      <c r="K144" s="485"/>
      <c r="L144" s="4"/>
      <c r="M144" s="4"/>
      <c r="N144" s="155"/>
      <c r="O144" s="155"/>
      <c r="P144" s="155"/>
      <c r="Q144" s="155"/>
    </row>
    <row r="145" spans="1:17" s="14" customFormat="1" x14ac:dyDescent="0.2">
      <c r="A145" s="4"/>
      <c r="B145" s="623" t="str">
        <f>CONCATENATE(B60," - ",C60)</f>
        <v>Camp - With seeding</v>
      </c>
      <c r="C145" s="624"/>
      <c r="D145" s="625"/>
      <c r="E145" s="44" t="s">
        <v>64</v>
      </c>
      <c r="F145" s="239">
        <f t="shared" si="29"/>
        <v>0</v>
      </c>
      <c r="G145" s="239">
        <f t="shared" si="29"/>
        <v>0</v>
      </c>
      <c r="H145" s="239">
        <f t="shared" si="29"/>
        <v>0</v>
      </c>
      <c r="I145" s="239">
        <f t="shared" si="29"/>
        <v>0</v>
      </c>
      <c r="J145" s="240">
        <f t="shared" si="29"/>
        <v>0</v>
      </c>
      <c r="K145" s="485"/>
      <c r="L145" s="4"/>
      <c r="M145" s="4"/>
      <c r="N145" s="155"/>
      <c r="O145" s="155"/>
      <c r="P145" s="155"/>
      <c r="Q145" s="155"/>
    </row>
    <row r="146" spans="1:17" s="14" customFormat="1" x14ac:dyDescent="0.2">
      <c r="A146" s="4"/>
      <c r="B146" s="623" t="str">
        <f>CONCATENATE(B63," - ",C63)</f>
        <v>Camp - No seeding</v>
      </c>
      <c r="C146" s="624"/>
      <c r="D146" s="625"/>
      <c r="E146" s="44" t="s">
        <v>64</v>
      </c>
      <c r="F146" s="239">
        <f t="shared" si="29"/>
        <v>0</v>
      </c>
      <c r="G146" s="239">
        <f t="shared" si="29"/>
        <v>0</v>
      </c>
      <c r="H146" s="239">
        <f t="shared" si="29"/>
        <v>0</v>
      </c>
      <c r="I146" s="239">
        <f t="shared" si="29"/>
        <v>0</v>
      </c>
      <c r="J146" s="240">
        <f t="shared" si="29"/>
        <v>0</v>
      </c>
      <c r="K146" s="485"/>
      <c r="L146" s="4"/>
      <c r="M146" s="4"/>
      <c r="N146" s="155"/>
      <c r="O146" s="155"/>
      <c r="P146" s="155"/>
      <c r="Q146" s="155"/>
    </row>
    <row r="147" spans="1:17" s="14" customFormat="1" x14ac:dyDescent="0.2">
      <c r="A147" s="4"/>
      <c r="B147" s="635" t="str">
        <f>CONCATENATE(B66," - ",C66)</f>
        <v>Miscellaneous clearing - With seeding</v>
      </c>
      <c r="C147" s="636"/>
      <c r="D147" s="637"/>
      <c r="E147" s="44" t="s">
        <v>64</v>
      </c>
      <c r="F147" s="239">
        <f t="shared" si="29"/>
        <v>0</v>
      </c>
      <c r="G147" s="239">
        <f t="shared" si="29"/>
        <v>0</v>
      </c>
      <c r="H147" s="239">
        <f t="shared" si="29"/>
        <v>0</v>
      </c>
      <c r="I147" s="239">
        <f t="shared" si="29"/>
        <v>0</v>
      </c>
      <c r="J147" s="240">
        <f t="shared" si="29"/>
        <v>0</v>
      </c>
      <c r="K147" s="485"/>
      <c r="L147" s="4"/>
      <c r="M147" s="4"/>
      <c r="N147" s="155"/>
      <c r="O147" s="155"/>
      <c r="P147" s="155"/>
      <c r="Q147" s="155"/>
    </row>
    <row r="148" spans="1:17" s="14" customFormat="1" x14ac:dyDescent="0.2">
      <c r="A148" s="4"/>
      <c r="B148" s="635" t="str">
        <f>CONCATENATE(B67," - ",C67)</f>
        <v>Miscellaneous clearing - No seeding</v>
      </c>
      <c r="C148" s="636"/>
      <c r="D148" s="637"/>
      <c r="E148" s="44" t="s">
        <v>64</v>
      </c>
      <c r="F148" s="239">
        <f t="shared" si="29"/>
        <v>0</v>
      </c>
      <c r="G148" s="239">
        <f t="shared" si="29"/>
        <v>0</v>
      </c>
      <c r="H148" s="239">
        <f t="shared" si="29"/>
        <v>0</v>
      </c>
      <c r="I148" s="239">
        <f t="shared" si="29"/>
        <v>0</v>
      </c>
      <c r="J148" s="240">
        <f t="shared" si="29"/>
        <v>0</v>
      </c>
      <c r="K148" s="485"/>
      <c r="L148" s="4"/>
      <c r="M148" s="4"/>
      <c r="N148" s="155"/>
      <c r="O148" s="155"/>
      <c r="P148" s="155"/>
      <c r="Q148" s="155"/>
    </row>
    <row r="149" spans="1:17" s="14" customFormat="1" x14ac:dyDescent="0.2">
      <c r="A149" s="4"/>
      <c r="B149" s="623" t="str">
        <f>B77</f>
        <v>Fencing</v>
      </c>
      <c r="C149" s="624"/>
      <c r="D149" s="625"/>
      <c r="E149" s="44" t="s">
        <v>79</v>
      </c>
      <c r="F149" s="239">
        <f t="shared" si="29"/>
        <v>0</v>
      </c>
      <c r="G149" s="239">
        <f t="shared" si="29"/>
        <v>0</v>
      </c>
      <c r="H149" s="239">
        <f t="shared" si="29"/>
        <v>0</v>
      </c>
      <c r="I149" s="239">
        <f t="shared" si="29"/>
        <v>0</v>
      </c>
      <c r="J149" s="240">
        <f t="shared" si="29"/>
        <v>0</v>
      </c>
      <c r="K149" s="485"/>
      <c r="L149" s="4"/>
      <c r="M149" s="4"/>
      <c r="N149" s="155"/>
      <c r="O149" s="155"/>
      <c r="P149" s="155"/>
      <c r="Q149" s="155"/>
    </row>
    <row r="150" spans="1:17" s="14" customFormat="1" x14ac:dyDescent="0.2">
      <c r="A150" s="4"/>
      <c r="B150" s="638" t="str">
        <f>B78</f>
        <v>Groundwater bore &lt; 70m TVD</v>
      </c>
      <c r="C150" s="639"/>
      <c r="D150" s="640"/>
      <c r="E150" s="44" t="s">
        <v>82</v>
      </c>
      <c r="F150" s="239">
        <f t="shared" si="29"/>
        <v>0</v>
      </c>
      <c r="G150" s="239">
        <f t="shared" si="29"/>
        <v>0</v>
      </c>
      <c r="H150" s="239">
        <f t="shared" si="29"/>
        <v>0</v>
      </c>
      <c r="I150" s="239">
        <f t="shared" si="29"/>
        <v>0</v>
      </c>
      <c r="J150" s="240">
        <f t="shared" si="29"/>
        <v>0</v>
      </c>
      <c r="K150" s="485"/>
      <c r="L150" s="4"/>
      <c r="M150" s="4"/>
      <c r="N150" s="155"/>
      <c r="O150" s="155"/>
      <c r="P150" s="155"/>
      <c r="Q150" s="155"/>
    </row>
    <row r="151" spans="1:17" s="14" customFormat="1" x14ac:dyDescent="0.2">
      <c r="A151" s="4"/>
      <c r="B151" s="623" t="str">
        <f>B79</f>
        <v>Groundwater bore ≥ 70m TVD</v>
      </c>
      <c r="C151" s="624"/>
      <c r="D151" s="625"/>
      <c r="E151" s="44" t="s">
        <v>82</v>
      </c>
      <c r="F151" s="239">
        <f t="shared" si="29"/>
        <v>0</v>
      </c>
      <c r="G151" s="239">
        <f t="shared" si="29"/>
        <v>0</v>
      </c>
      <c r="H151" s="239">
        <f t="shared" si="29"/>
        <v>0</v>
      </c>
      <c r="I151" s="239">
        <f t="shared" si="29"/>
        <v>0</v>
      </c>
      <c r="J151" s="240">
        <f t="shared" si="29"/>
        <v>0</v>
      </c>
      <c r="K151" s="485"/>
      <c r="L151" s="4"/>
      <c r="M151" s="4"/>
      <c r="N151" s="155"/>
      <c r="O151" s="155"/>
      <c r="P151" s="155"/>
      <c r="Q151" s="155"/>
    </row>
    <row r="152" spans="1:17" s="14" customFormat="1" x14ac:dyDescent="0.2">
      <c r="A152" s="4"/>
      <c r="B152" s="621" t="str">
        <f>B80</f>
        <v>Drill sump liners</v>
      </c>
      <c r="C152" s="622"/>
      <c r="D152" s="622"/>
      <c r="E152" s="44" t="s">
        <v>82</v>
      </c>
      <c r="F152" s="239">
        <f t="shared" si="29"/>
        <v>0</v>
      </c>
      <c r="G152" s="239">
        <f t="shared" si="29"/>
        <v>0</v>
      </c>
      <c r="H152" s="239">
        <f t="shared" si="29"/>
        <v>0</v>
      </c>
      <c r="I152" s="239">
        <f t="shared" si="29"/>
        <v>0</v>
      </c>
      <c r="J152" s="240">
        <f t="shared" si="29"/>
        <v>0</v>
      </c>
      <c r="K152" s="485"/>
      <c r="L152" s="4"/>
      <c r="M152" s="4"/>
      <c r="N152" s="155"/>
      <c r="O152" s="155"/>
      <c r="P152" s="155"/>
      <c r="Q152" s="155"/>
    </row>
    <row r="153" spans="1:17" s="14" customFormat="1" ht="15.75" x14ac:dyDescent="0.2">
      <c r="A153" s="4"/>
      <c r="B153" s="623" t="str">
        <f>B81</f>
        <v>Drill sump</v>
      </c>
      <c r="C153" s="624"/>
      <c r="D153" s="624"/>
      <c r="E153" s="44" t="s">
        <v>133</v>
      </c>
      <c r="F153" s="239">
        <f t="shared" si="29"/>
        <v>0</v>
      </c>
      <c r="G153" s="239">
        <f t="shared" si="29"/>
        <v>0</v>
      </c>
      <c r="H153" s="239">
        <f t="shared" si="29"/>
        <v>0</v>
      </c>
      <c r="I153" s="239">
        <f t="shared" si="29"/>
        <v>0</v>
      </c>
      <c r="J153" s="240">
        <f t="shared" si="29"/>
        <v>0</v>
      </c>
      <c r="K153" s="485"/>
      <c r="L153" s="4"/>
      <c r="M153" s="4"/>
      <c r="N153" s="155"/>
      <c r="O153" s="155"/>
      <c r="P153" s="155"/>
      <c r="Q153" s="155"/>
    </row>
    <row r="154" spans="1:17" s="14" customFormat="1" ht="15.75" x14ac:dyDescent="0.2">
      <c r="A154" s="4"/>
      <c r="B154" s="621" t="str">
        <f>B86</f>
        <v>Flare pit</v>
      </c>
      <c r="C154" s="622"/>
      <c r="D154" s="622"/>
      <c r="E154" s="44" t="s">
        <v>133</v>
      </c>
      <c r="F154" s="239">
        <f t="shared" si="29"/>
        <v>0</v>
      </c>
      <c r="G154" s="239">
        <f t="shared" si="29"/>
        <v>0</v>
      </c>
      <c r="H154" s="239">
        <f t="shared" si="29"/>
        <v>0</v>
      </c>
      <c r="I154" s="239">
        <f t="shared" si="29"/>
        <v>0</v>
      </c>
      <c r="J154" s="240">
        <f t="shared" si="29"/>
        <v>0</v>
      </c>
      <c r="K154" s="485"/>
      <c r="L154" s="4"/>
      <c r="M154" s="4"/>
      <c r="N154" s="155"/>
      <c r="O154" s="155"/>
      <c r="P154" s="155"/>
      <c r="Q154" s="155"/>
    </row>
    <row r="155" spans="1:17" s="14" customFormat="1" x14ac:dyDescent="0.2">
      <c r="A155" s="4"/>
      <c r="B155" s="621" t="str">
        <f>B91</f>
        <v>Wastewater tank</v>
      </c>
      <c r="C155" s="622"/>
      <c r="D155" s="622"/>
      <c r="E155" s="44" t="s">
        <v>82</v>
      </c>
      <c r="F155" s="239">
        <f t="shared" si="29"/>
        <v>0</v>
      </c>
      <c r="G155" s="239">
        <f t="shared" si="29"/>
        <v>0</v>
      </c>
      <c r="H155" s="239">
        <f t="shared" si="29"/>
        <v>0</v>
      </c>
      <c r="I155" s="239">
        <f t="shared" si="29"/>
        <v>0</v>
      </c>
      <c r="J155" s="240">
        <f t="shared" si="29"/>
        <v>0</v>
      </c>
      <c r="K155" s="485"/>
      <c r="L155" s="4"/>
      <c r="M155" s="4"/>
      <c r="N155" s="155"/>
      <c r="O155" s="155"/>
      <c r="P155" s="155"/>
      <c r="Q155" s="155"/>
    </row>
    <row r="156" spans="1:17" s="14" customFormat="1" x14ac:dyDescent="0.2">
      <c r="A156" s="4"/>
      <c r="B156" s="621" t="str">
        <f>B92</f>
        <v>Wastewater treatment plant (camp)</v>
      </c>
      <c r="C156" s="622"/>
      <c r="D156" s="622"/>
      <c r="E156" s="44" t="s">
        <v>82</v>
      </c>
      <c r="F156" s="239">
        <f t="shared" si="29"/>
        <v>0</v>
      </c>
      <c r="G156" s="239">
        <f t="shared" si="29"/>
        <v>0</v>
      </c>
      <c r="H156" s="239">
        <f t="shared" si="29"/>
        <v>0</v>
      </c>
      <c r="I156" s="239">
        <f t="shared" si="29"/>
        <v>0</v>
      </c>
      <c r="J156" s="240">
        <f t="shared" si="29"/>
        <v>0</v>
      </c>
      <c r="K156" s="485"/>
      <c r="L156" s="4"/>
      <c r="M156" s="4"/>
      <c r="N156" s="155"/>
      <c r="O156" s="155"/>
      <c r="P156" s="155"/>
      <c r="Q156" s="155"/>
    </row>
    <row r="157" spans="1:17" s="14" customFormat="1" ht="15.75" x14ac:dyDescent="0.2">
      <c r="A157" s="4"/>
      <c r="B157" s="621" t="str">
        <f>B93</f>
        <v>Turkey's nest</v>
      </c>
      <c r="C157" s="622"/>
      <c r="D157" s="622"/>
      <c r="E157" s="44" t="s">
        <v>133</v>
      </c>
      <c r="F157" s="239">
        <f t="shared" si="29"/>
        <v>0</v>
      </c>
      <c r="G157" s="239">
        <f t="shared" si="29"/>
        <v>0</v>
      </c>
      <c r="H157" s="239">
        <f t="shared" si="29"/>
        <v>0</v>
      </c>
      <c r="I157" s="239">
        <f t="shared" si="29"/>
        <v>0</v>
      </c>
      <c r="J157" s="240">
        <f t="shared" si="29"/>
        <v>0</v>
      </c>
      <c r="K157" s="485"/>
      <c r="L157" s="4"/>
      <c r="M157" s="4"/>
      <c r="N157" s="155"/>
      <c r="O157" s="155"/>
      <c r="P157" s="155"/>
      <c r="Q157" s="155"/>
    </row>
    <row r="158" spans="1:17" s="14" customFormat="1" x14ac:dyDescent="0.2">
      <c r="A158" s="4"/>
      <c r="B158" s="621" t="str">
        <f>B98</f>
        <v>Camp capacity</v>
      </c>
      <c r="C158" s="622"/>
      <c r="D158" s="622"/>
      <c r="E158" s="44" t="s">
        <v>82</v>
      </c>
      <c r="F158" s="239">
        <f t="shared" si="29"/>
        <v>0</v>
      </c>
      <c r="G158" s="239">
        <f t="shared" si="29"/>
        <v>0</v>
      </c>
      <c r="H158" s="239">
        <f t="shared" si="29"/>
        <v>0</v>
      </c>
      <c r="I158" s="239">
        <f t="shared" si="29"/>
        <v>0</v>
      </c>
      <c r="J158" s="240">
        <f t="shared" si="29"/>
        <v>0</v>
      </c>
      <c r="K158" s="485"/>
      <c r="L158" s="4"/>
      <c r="M158" s="4"/>
      <c r="N158" s="155"/>
      <c r="O158" s="155"/>
      <c r="P158" s="155"/>
      <c r="Q158" s="155"/>
    </row>
    <row r="159" spans="1:17" s="14" customFormat="1" x14ac:dyDescent="0.2">
      <c r="A159" s="4"/>
      <c r="B159" s="621" t="str">
        <f>CONCATENATE(B100," - ",C100)</f>
        <v>Flowlines / pipelines - Above and below ground</v>
      </c>
      <c r="C159" s="622"/>
      <c r="D159" s="622"/>
      <c r="E159" s="44" t="s">
        <v>79</v>
      </c>
      <c r="F159" s="239">
        <f t="shared" si="29"/>
        <v>0</v>
      </c>
      <c r="G159" s="239">
        <f t="shared" si="29"/>
        <v>0</v>
      </c>
      <c r="H159" s="239">
        <f t="shared" si="29"/>
        <v>0</v>
      </c>
      <c r="I159" s="239">
        <f t="shared" si="29"/>
        <v>0</v>
      </c>
      <c r="J159" s="240">
        <f t="shared" si="29"/>
        <v>0</v>
      </c>
      <c r="K159" s="485"/>
      <c r="L159" s="4"/>
      <c r="M159" s="4"/>
      <c r="N159" s="155"/>
      <c r="O159" s="155"/>
      <c r="P159" s="155"/>
      <c r="Q159" s="155"/>
    </row>
    <row r="160" spans="1:17" s="14" customFormat="1" x14ac:dyDescent="0.2">
      <c r="A160" s="4"/>
      <c r="B160" s="621" t="str">
        <f>CONCATENATE(B101," - ",C101)</f>
        <v>Contaminated soil testing  - Per well pad</v>
      </c>
      <c r="C160" s="622"/>
      <c r="D160" s="622"/>
      <c r="E160" s="44" t="s">
        <v>82</v>
      </c>
      <c r="F160" s="239">
        <f t="shared" si="29"/>
        <v>0</v>
      </c>
      <c r="G160" s="239">
        <f t="shared" si="29"/>
        <v>0</v>
      </c>
      <c r="H160" s="239">
        <f t="shared" si="29"/>
        <v>0</v>
      </c>
      <c r="I160" s="239">
        <f t="shared" si="29"/>
        <v>0</v>
      </c>
      <c r="J160" s="240">
        <f t="shared" si="29"/>
        <v>0</v>
      </c>
      <c r="K160" s="485"/>
      <c r="L160" s="4"/>
      <c r="M160" s="4"/>
      <c r="N160" s="155"/>
      <c r="O160" s="155"/>
      <c r="P160" s="155"/>
      <c r="Q160" s="155"/>
    </row>
    <row r="161" spans="1:18" s="14" customFormat="1" x14ac:dyDescent="0.2">
      <c r="A161" s="4"/>
      <c r="B161" s="621" t="str">
        <f>B104</f>
        <v>General waste</v>
      </c>
      <c r="C161" s="622"/>
      <c r="D161" s="622"/>
      <c r="E161" s="44" t="s">
        <v>177</v>
      </c>
      <c r="F161" s="239">
        <f t="shared" si="29"/>
        <v>0</v>
      </c>
      <c r="G161" s="239">
        <f t="shared" si="29"/>
        <v>0</v>
      </c>
      <c r="H161" s="239">
        <f t="shared" si="29"/>
        <v>0</v>
      </c>
      <c r="I161" s="239">
        <f t="shared" si="29"/>
        <v>0</v>
      </c>
      <c r="J161" s="240">
        <f t="shared" si="29"/>
        <v>0</v>
      </c>
      <c r="K161" s="485"/>
      <c r="L161" s="4"/>
      <c r="M161" s="4"/>
      <c r="N161" s="155"/>
      <c r="O161" s="155"/>
      <c r="P161" s="155"/>
      <c r="Q161" s="155"/>
    </row>
    <row r="162" spans="1:18" s="14" customFormat="1" x14ac:dyDescent="0.2">
      <c r="A162" s="4"/>
      <c r="B162" s="621" t="str">
        <f>B105</f>
        <v>Listed waste</v>
      </c>
      <c r="C162" s="622"/>
      <c r="D162" s="622"/>
      <c r="E162" s="44" t="s">
        <v>177</v>
      </c>
      <c r="F162" s="239">
        <f t="shared" si="29"/>
        <v>0</v>
      </c>
      <c r="G162" s="239">
        <f t="shared" si="29"/>
        <v>0</v>
      </c>
      <c r="H162" s="239">
        <f t="shared" si="29"/>
        <v>0</v>
      </c>
      <c r="I162" s="239">
        <f t="shared" si="29"/>
        <v>0</v>
      </c>
      <c r="J162" s="240">
        <f t="shared" si="29"/>
        <v>0</v>
      </c>
      <c r="K162" s="485"/>
      <c r="L162" s="4"/>
      <c r="M162" s="4"/>
      <c r="N162" s="155"/>
      <c r="O162" s="155"/>
      <c r="P162" s="155"/>
      <c r="Q162" s="155"/>
    </row>
    <row r="163" spans="1:18" s="14" customFormat="1" x14ac:dyDescent="0.2">
      <c r="A163" s="4"/>
      <c r="B163" s="621" t="str">
        <f>B106</f>
        <v xml:space="preserve">Chemical waste </v>
      </c>
      <c r="C163" s="622"/>
      <c r="D163" s="622"/>
      <c r="E163" s="44" t="s">
        <v>177</v>
      </c>
      <c r="F163" s="239">
        <f t="shared" si="29"/>
        <v>0</v>
      </c>
      <c r="G163" s="239">
        <f t="shared" si="29"/>
        <v>0</v>
      </c>
      <c r="H163" s="239">
        <f t="shared" si="29"/>
        <v>0</v>
      </c>
      <c r="I163" s="239">
        <f t="shared" si="29"/>
        <v>0</v>
      </c>
      <c r="J163" s="240">
        <f t="shared" si="29"/>
        <v>0</v>
      </c>
      <c r="K163" s="485"/>
      <c r="L163" s="4"/>
      <c r="M163" s="4"/>
      <c r="N163" s="155"/>
      <c r="O163" s="155"/>
      <c r="P163" s="155"/>
      <c r="Q163" s="155"/>
    </row>
    <row r="164" spans="1:18" s="14" customFormat="1" x14ac:dyDescent="0.2">
      <c r="A164" s="4"/>
      <c r="B164" s="621" t="str">
        <f>B107</f>
        <v>Hydraulic Fracking Fluid</v>
      </c>
      <c r="C164" s="622"/>
      <c r="D164" s="622"/>
      <c r="E164" s="44" t="s">
        <v>181</v>
      </c>
      <c r="F164" s="239">
        <f t="shared" si="29"/>
        <v>0</v>
      </c>
      <c r="G164" s="239">
        <f t="shared" si="29"/>
        <v>0</v>
      </c>
      <c r="H164" s="239">
        <f t="shared" si="29"/>
        <v>0</v>
      </c>
      <c r="I164" s="239">
        <f t="shared" si="29"/>
        <v>0</v>
      </c>
      <c r="J164" s="240">
        <f t="shared" si="29"/>
        <v>0</v>
      </c>
      <c r="K164" s="485"/>
      <c r="L164" s="4"/>
      <c r="M164" s="4"/>
      <c r="N164" s="228">
        <f>(ROUNDUP(F164/0.046,0)*'Unit Rates'!$F$48)</f>
        <v>0</v>
      </c>
      <c r="O164" s="422">
        <f>(ROUNDUP(G164/0.046,0)*'Unit Rates'!$F$48)</f>
        <v>0</v>
      </c>
      <c r="P164" s="229">
        <f>(ROUNDUP(H164/0.046,0)*'Unit Rates'!$F$48)</f>
        <v>0</v>
      </c>
      <c r="Q164" s="232">
        <f>(ROUNDUP(I164/0.046,0)*'Unit Rates'!$F$48)</f>
        <v>0</v>
      </c>
      <c r="R164" s="231">
        <f>(ROUNDUP(J164/0.046,0)*'Unit Rates'!$F$48)</f>
        <v>0</v>
      </c>
    </row>
    <row r="165" spans="1:18" s="14" customFormat="1" x14ac:dyDescent="0.2">
      <c r="A165" s="4"/>
      <c r="B165" s="623" t="str">
        <f>B113</f>
        <v>Produced water (formation water)</v>
      </c>
      <c r="C165" s="624"/>
      <c r="D165" s="625"/>
      <c r="E165" s="44" t="s">
        <v>181</v>
      </c>
      <c r="F165" s="239">
        <f t="shared" si="29"/>
        <v>0</v>
      </c>
      <c r="G165" s="239">
        <f t="shared" si="29"/>
        <v>0</v>
      </c>
      <c r="H165" s="239">
        <f t="shared" si="29"/>
        <v>0</v>
      </c>
      <c r="I165" s="239">
        <f t="shared" si="29"/>
        <v>0</v>
      </c>
      <c r="J165" s="240">
        <f t="shared" si="29"/>
        <v>0</v>
      </c>
      <c r="K165" s="485"/>
      <c r="L165" s="4"/>
      <c r="M165" s="4"/>
      <c r="N165" s="212">
        <f>(ROUNDUP(F165/0.046,0)*'Unit Rates'!$F$48)</f>
        <v>0</v>
      </c>
      <c r="O165" s="236">
        <f>(ROUNDUP(G165/0.046,0)*'Unit Rates'!$F$48)</f>
        <v>0</v>
      </c>
      <c r="P165" s="419">
        <f>(ROUNDUP(H165/0.046,0)*'Unit Rates'!$F$48)</f>
        <v>0</v>
      </c>
      <c r="Q165" s="421">
        <f>(ROUNDUP(I165/0.046,0)*'Unit Rates'!$F$48)</f>
        <v>0</v>
      </c>
      <c r="R165" s="215">
        <f>(ROUNDUP(J165/0.046,0)*'Unit Rates'!$F$48)</f>
        <v>0</v>
      </c>
    </row>
    <row r="166" spans="1:18" s="14" customFormat="1" x14ac:dyDescent="0.2">
      <c r="A166" s="4"/>
      <c r="B166" s="623" t="str">
        <f>B118</f>
        <v>Other Wastewater</v>
      </c>
      <c r="C166" s="624"/>
      <c r="D166" s="625"/>
      <c r="E166" s="44" t="s">
        <v>181</v>
      </c>
      <c r="F166" s="239">
        <f t="shared" si="29"/>
        <v>0</v>
      </c>
      <c r="G166" s="239">
        <f t="shared" si="29"/>
        <v>0</v>
      </c>
      <c r="H166" s="239">
        <f t="shared" si="29"/>
        <v>0</v>
      </c>
      <c r="I166" s="239">
        <f t="shared" si="29"/>
        <v>0</v>
      </c>
      <c r="J166" s="240">
        <f t="shared" si="29"/>
        <v>0</v>
      </c>
      <c r="K166" s="485"/>
      <c r="L166" s="4"/>
      <c r="M166" s="4"/>
      <c r="N166" s="212">
        <f>(ROUNDUP(F166/0.046,0)*'Unit Rates'!$F$48)</f>
        <v>0</v>
      </c>
      <c r="O166" s="236">
        <f>(ROUNDUP(G166/0.046,0)*'Unit Rates'!$F$48)</f>
        <v>0</v>
      </c>
      <c r="P166" s="419">
        <f>(ROUNDUP(H166/0.046,0)*'Unit Rates'!$F$48)</f>
        <v>0</v>
      </c>
      <c r="Q166" s="421">
        <f>(ROUNDUP(I166/0.046,0)*'Unit Rates'!$F$48)</f>
        <v>0</v>
      </c>
      <c r="R166" s="215">
        <f>(ROUNDUP(J166/0.046,0)*'Unit Rates'!$F$48)</f>
        <v>0</v>
      </c>
    </row>
    <row r="167" spans="1:18" s="14" customFormat="1" ht="15.75" x14ac:dyDescent="0.2">
      <c r="A167" s="4"/>
      <c r="B167" s="621" t="str">
        <f>B123</f>
        <v>Drilling Muds and Cuttings</v>
      </c>
      <c r="C167" s="622"/>
      <c r="D167" s="622"/>
      <c r="E167" s="44" t="s">
        <v>133</v>
      </c>
      <c r="F167" s="239">
        <f t="shared" si="29"/>
        <v>0</v>
      </c>
      <c r="G167" s="239">
        <f t="shared" si="29"/>
        <v>0</v>
      </c>
      <c r="H167" s="239">
        <f t="shared" si="29"/>
        <v>0</v>
      </c>
      <c r="I167" s="239">
        <f t="shared" si="29"/>
        <v>0</v>
      </c>
      <c r="J167" s="240">
        <f t="shared" si="29"/>
        <v>0</v>
      </c>
      <c r="K167" s="485"/>
      <c r="L167" s="4"/>
      <c r="M167" s="4"/>
      <c r="N167" s="217">
        <f>(ROUNDUP(F$167/46,0)*'Unit Rates'!$F$48)</f>
        <v>0</v>
      </c>
      <c r="O167" s="418">
        <f>(ROUNDUP(G$167/46,0)*'Unit Rates'!$F$48)</f>
        <v>0</v>
      </c>
      <c r="P167" s="218">
        <f>(ROUNDUP(H$167/46,0)*'Unit Rates'!$F$48)</f>
        <v>0</v>
      </c>
      <c r="Q167" s="234">
        <f>(ROUNDUP(I$167/46,0)*'Unit Rates'!$F$48)</f>
        <v>0</v>
      </c>
      <c r="R167" s="220">
        <f>(ROUNDUP(J$167/46,0)*'Unit Rates'!$F$48)</f>
        <v>0</v>
      </c>
    </row>
    <row r="168" spans="1:18" s="14" customFormat="1" ht="15.75" x14ac:dyDescent="0.2">
      <c r="A168" s="4"/>
      <c r="B168" s="621" t="str">
        <f>P128</f>
        <v>Liners</v>
      </c>
      <c r="C168" s="622"/>
      <c r="D168" s="622"/>
      <c r="E168" s="44" t="s">
        <v>222</v>
      </c>
      <c r="F168" s="239">
        <f t="shared" si="29"/>
        <v>0</v>
      </c>
      <c r="G168" s="239">
        <f t="shared" si="29"/>
        <v>0</v>
      </c>
      <c r="H168" s="239">
        <f t="shared" si="29"/>
        <v>0</v>
      </c>
      <c r="I168" s="239">
        <f t="shared" si="29"/>
        <v>0</v>
      </c>
      <c r="J168" s="240">
        <f t="shared" si="29"/>
        <v>0</v>
      </c>
      <c r="K168" s="485"/>
      <c r="L168" s="4"/>
      <c r="M168" s="4"/>
      <c r="N168" s="155"/>
      <c r="O168" s="155"/>
      <c r="P168" s="155"/>
      <c r="Q168" s="155"/>
    </row>
    <row r="169" spans="1:18" s="14" customFormat="1" ht="16.5" thickBot="1" x14ac:dyDescent="0.25">
      <c r="A169" s="4"/>
      <c r="B169" s="626" t="str">
        <f>P129</f>
        <v>Well pad materials</v>
      </c>
      <c r="C169" s="627"/>
      <c r="D169" s="627"/>
      <c r="E169" s="45" t="s">
        <v>133</v>
      </c>
      <c r="F169" s="498">
        <f t="shared" si="29"/>
        <v>0</v>
      </c>
      <c r="G169" s="499">
        <f t="shared" si="29"/>
        <v>0</v>
      </c>
      <c r="H169" s="499">
        <f t="shared" si="29"/>
        <v>0</v>
      </c>
      <c r="I169" s="499">
        <f t="shared" si="29"/>
        <v>0</v>
      </c>
      <c r="J169" s="500">
        <f t="shared" si="29"/>
        <v>0</v>
      </c>
      <c r="K169" s="485"/>
      <c r="L169" s="4"/>
      <c r="M169" s="4"/>
      <c r="N169" s="155"/>
      <c r="O169" s="155"/>
      <c r="P169" s="155"/>
      <c r="Q169" s="155"/>
    </row>
    <row r="170" spans="1:18" x14ac:dyDescent="0.2">
      <c r="B170" s="32"/>
      <c r="O170" s="5"/>
      <c r="P170" s="5"/>
    </row>
    <row r="171" spans="1:18" ht="15" thickBot="1" x14ac:dyDescent="0.25">
      <c r="B171" s="207" t="str">
        <f ca="1">"Table "&amp;$N$9&amp;".4 Summary of security value by disturbance activity"</f>
        <v>Table 6.4 Summary of security value by disturbance activity</v>
      </c>
      <c r="O171" s="5"/>
      <c r="P171" s="5"/>
    </row>
    <row r="172" spans="1:18" s="159" customFormat="1" ht="36.75" thickBot="1" x14ac:dyDescent="0.25">
      <c r="A172" s="4"/>
      <c r="B172" s="628" t="s">
        <v>207</v>
      </c>
      <c r="C172" s="629"/>
      <c r="D172" s="630"/>
      <c r="E172" s="125" t="s">
        <v>209</v>
      </c>
      <c r="F172" s="23" t="s">
        <v>17</v>
      </c>
      <c r="G172" s="23" t="s">
        <v>150</v>
      </c>
      <c r="H172" s="23" t="s">
        <v>19</v>
      </c>
      <c r="I172" s="23" t="s">
        <v>20</v>
      </c>
      <c r="J172" s="23" t="s">
        <v>21</v>
      </c>
      <c r="K172" s="485"/>
      <c r="L172" s="4"/>
      <c r="M172" s="4"/>
      <c r="N172" s="14"/>
      <c r="Q172" s="14"/>
      <c r="R172" s="14"/>
    </row>
    <row r="173" spans="1:18" s="14" customFormat="1" x14ac:dyDescent="0.2">
      <c r="A173" s="4"/>
      <c r="B173" s="129" t="s">
        <v>23</v>
      </c>
      <c r="C173" s="619" t="str">
        <f>B133</f>
        <v>Seismic lines</v>
      </c>
      <c r="D173" s="620"/>
      <c r="E173" s="246">
        <f>SUMIF('Unit Rates'!J:J,$C173,'Unit Rates'!F:F)</f>
        <v>1552</v>
      </c>
      <c r="F173" s="241">
        <f>$E173*F133</f>
        <v>0</v>
      </c>
      <c r="G173" s="241">
        <f>$E173*G133</f>
        <v>0</v>
      </c>
      <c r="H173" s="241">
        <f>$E173*H133</f>
        <v>0</v>
      </c>
      <c r="I173" s="241">
        <f>$E173*I133</f>
        <v>0</v>
      </c>
      <c r="J173" s="242">
        <f>$E173*J133</f>
        <v>0</v>
      </c>
      <c r="K173" s="485"/>
      <c r="L173" s="4"/>
      <c r="M173" s="4"/>
    </row>
    <row r="174" spans="1:18" s="14" customFormat="1" x14ac:dyDescent="0.2">
      <c r="A174" s="4"/>
      <c r="B174" s="129" t="s">
        <v>23</v>
      </c>
      <c r="C174" s="619" t="str">
        <f t="shared" ref="C174:C209" si="30">B134</f>
        <v>Flowline right of ways - By track</v>
      </c>
      <c r="D174" s="620"/>
      <c r="E174" s="246">
        <f>SUMIF('Unit Rates'!J:J,$C174,'Unit Rates'!F:F)</f>
        <v>1242</v>
      </c>
      <c r="F174" s="243">
        <f t="shared" ref="F174:J189" si="31">$E174*F134</f>
        <v>0</v>
      </c>
      <c r="G174" s="243">
        <f t="shared" si="31"/>
        <v>0</v>
      </c>
      <c r="H174" s="243">
        <f t="shared" si="31"/>
        <v>0</v>
      </c>
      <c r="I174" s="243">
        <f t="shared" si="31"/>
        <v>0</v>
      </c>
      <c r="J174" s="244">
        <f t="shared" si="31"/>
        <v>0</v>
      </c>
      <c r="K174" s="485"/>
      <c r="L174" s="4"/>
      <c r="M174" s="4"/>
    </row>
    <row r="175" spans="1:18" s="14" customFormat="1" x14ac:dyDescent="0.2">
      <c r="A175" s="4"/>
      <c r="B175" s="129" t="s">
        <v>23</v>
      </c>
      <c r="C175" s="619" t="str">
        <f t="shared" si="30"/>
        <v>Flowline right of ways - Not by track</v>
      </c>
      <c r="D175" s="620"/>
      <c r="E175" s="246">
        <f>SUMIF('Unit Rates'!J:J,$C175,'Unit Rates'!F:F)</f>
        <v>2484</v>
      </c>
      <c r="F175" s="243">
        <f t="shared" si="31"/>
        <v>0</v>
      </c>
      <c r="G175" s="243">
        <f t="shared" si="31"/>
        <v>0</v>
      </c>
      <c r="H175" s="243">
        <f t="shared" si="31"/>
        <v>0</v>
      </c>
      <c r="I175" s="243">
        <f t="shared" si="31"/>
        <v>0</v>
      </c>
      <c r="J175" s="244">
        <f t="shared" si="31"/>
        <v>0</v>
      </c>
      <c r="K175" s="485"/>
      <c r="L175" s="4"/>
      <c r="M175" s="4"/>
    </row>
    <row r="176" spans="1:18" s="14" customFormat="1" x14ac:dyDescent="0.2">
      <c r="A176" s="4"/>
      <c r="B176" s="129" t="s">
        <v>23</v>
      </c>
      <c r="C176" s="619" t="str">
        <f t="shared" si="30"/>
        <v>Access track (existing)</v>
      </c>
      <c r="D176" s="620"/>
      <c r="E176" s="246">
        <f>SUMIF('Unit Rates'!J:J,$C176,'Unit Rates'!F:F)</f>
        <v>4553</v>
      </c>
      <c r="F176" s="243">
        <f t="shared" si="31"/>
        <v>0</v>
      </c>
      <c r="G176" s="243">
        <f t="shared" si="31"/>
        <v>0</v>
      </c>
      <c r="H176" s="243">
        <f t="shared" si="31"/>
        <v>0</v>
      </c>
      <c r="I176" s="243">
        <f t="shared" si="31"/>
        <v>0</v>
      </c>
      <c r="J176" s="244">
        <f t="shared" si="31"/>
        <v>0</v>
      </c>
      <c r="K176" s="485"/>
      <c r="L176" s="4"/>
      <c r="M176" s="4"/>
      <c r="N176" s="155"/>
      <c r="Q176" s="155"/>
      <c r="R176" s="155"/>
    </row>
    <row r="177" spans="1:20" s="14" customFormat="1" x14ac:dyDescent="0.2">
      <c r="A177" s="4"/>
      <c r="B177" s="129" t="s">
        <v>23</v>
      </c>
      <c r="C177" s="619" t="str">
        <f t="shared" si="30"/>
        <v>Access track (new) - No seeding</v>
      </c>
      <c r="D177" s="620"/>
      <c r="E177" s="246">
        <f>SUMIF('Unit Rates'!J:J,$C177,'Unit Rates'!F:F)</f>
        <v>3133</v>
      </c>
      <c r="F177" s="243">
        <f t="shared" si="31"/>
        <v>0</v>
      </c>
      <c r="G177" s="243">
        <f t="shared" si="31"/>
        <v>0</v>
      </c>
      <c r="H177" s="243">
        <f t="shared" si="31"/>
        <v>0</v>
      </c>
      <c r="I177" s="243">
        <f t="shared" si="31"/>
        <v>0</v>
      </c>
      <c r="J177" s="244">
        <f t="shared" si="31"/>
        <v>0</v>
      </c>
      <c r="K177" s="485"/>
      <c r="L177" s="4"/>
      <c r="M177" s="4"/>
      <c r="N177" s="155"/>
      <c r="Q177" s="155"/>
    </row>
    <row r="178" spans="1:20" s="14" customFormat="1" x14ac:dyDescent="0.2">
      <c r="A178" s="4"/>
      <c r="B178" s="129" t="s">
        <v>23</v>
      </c>
      <c r="C178" s="619" t="str">
        <f t="shared" si="30"/>
        <v>Access track (new) - With seeding</v>
      </c>
      <c r="D178" s="620"/>
      <c r="E178" s="246">
        <f>SUMIF('Unit Rates'!J:J,$C178,'Unit Rates'!F:F)</f>
        <v>3942</v>
      </c>
      <c r="F178" s="243">
        <f t="shared" si="31"/>
        <v>0</v>
      </c>
      <c r="G178" s="243">
        <f t="shared" si="31"/>
        <v>0</v>
      </c>
      <c r="H178" s="243">
        <f t="shared" si="31"/>
        <v>0</v>
      </c>
      <c r="I178" s="243">
        <f t="shared" si="31"/>
        <v>0</v>
      </c>
      <c r="J178" s="244">
        <f t="shared" si="31"/>
        <v>0</v>
      </c>
      <c r="K178" s="485"/>
      <c r="L178" s="4"/>
      <c r="M178" s="4"/>
      <c r="N178" s="155"/>
      <c r="Q178" s="155"/>
    </row>
    <row r="179" spans="1:20" s="14" customFormat="1" x14ac:dyDescent="0.2">
      <c r="A179" s="4"/>
      <c r="B179" s="129" t="s">
        <v>23</v>
      </c>
      <c r="C179" s="619" t="str">
        <f t="shared" si="30"/>
        <v>Laydown areas - With seeding, with ripping</v>
      </c>
      <c r="D179" s="620"/>
      <c r="E179" s="246">
        <f>SUMIF('Unit Rates'!J:J,$C179,'Unit Rates'!F:F)</f>
        <v>2879</v>
      </c>
      <c r="F179" s="243">
        <f t="shared" si="31"/>
        <v>0</v>
      </c>
      <c r="G179" s="243">
        <f t="shared" si="31"/>
        <v>0</v>
      </c>
      <c r="H179" s="243">
        <f t="shared" si="31"/>
        <v>0</v>
      </c>
      <c r="I179" s="243">
        <f t="shared" si="31"/>
        <v>0</v>
      </c>
      <c r="J179" s="244">
        <f t="shared" si="31"/>
        <v>0</v>
      </c>
      <c r="K179" s="485"/>
      <c r="L179" s="4"/>
      <c r="M179" s="4"/>
      <c r="N179" s="155"/>
      <c r="Q179" s="155"/>
    </row>
    <row r="180" spans="1:20" s="14" customFormat="1" x14ac:dyDescent="0.2">
      <c r="A180" s="4"/>
      <c r="B180" s="129" t="s">
        <v>23</v>
      </c>
      <c r="C180" s="619" t="str">
        <f t="shared" si="30"/>
        <v>Laydown areas - With seeding, no ripping</v>
      </c>
      <c r="D180" s="620"/>
      <c r="E180" s="246">
        <f>SUMIF('Unit Rates'!J:J,$C180,'Unit Rates'!F:F)</f>
        <v>2379</v>
      </c>
      <c r="F180" s="243">
        <f t="shared" si="31"/>
        <v>0</v>
      </c>
      <c r="G180" s="243">
        <f t="shared" si="31"/>
        <v>0</v>
      </c>
      <c r="H180" s="243">
        <f t="shared" si="31"/>
        <v>0</v>
      </c>
      <c r="I180" s="243">
        <f t="shared" si="31"/>
        <v>0</v>
      </c>
      <c r="J180" s="244">
        <f t="shared" si="31"/>
        <v>0</v>
      </c>
      <c r="K180" s="485"/>
      <c r="L180" s="4"/>
    </row>
    <row r="181" spans="1:20" s="14" customFormat="1" x14ac:dyDescent="0.2">
      <c r="A181" s="4"/>
      <c r="B181" s="129" t="s">
        <v>23</v>
      </c>
      <c r="C181" s="619" t="str">
        <f t="shared" si="30"/>
        <v>Laydown areas - No seeding, with ripping</v>
      </c>
      <c r="D181" s="620"/>
      <c r="E181" s="246">
        <f>SUMIF('Unit Rates'!J:J,$C181,'Unit Rates'!F:F)</f>
        <v>2070</v>
      </c>
      <c r="F181" s="243">
        <f t="shared" si="31"/>
        <v>0</v>
      </c>
      <c r="G181" s="243">
        <f t="shared" si="31"/>
        <v>0</v>
      </c>
      <c r="H181" s="243">
        <f t="shared" si="31"/>
        <v>0</v>
      </c>
      <c r="I181" s="243">
        <f t="shared" si="31"/>
        <v>0</v>
      </c>
      <c r="J181" s="244">
        <f t="shared" si="31"/>
        <v>0</v>
      </c>
      <c r="K181" s="485"/>
      <c r="L181" s="4"/>
    </row>
    <row r="182" spans="1:20" s="14" customFormat="1" x14ac:dyDescent="0.2">
      <c r="A182" s="4"/>
      <c r="B182" s="129" t="s">
        <v>23</v>
      </c>
      <c r="C182" s="619" t="str">
        <f t="shared" si="30"/>
        <v>Laydown areas - No seeding, no ripping</v>
      </c>
      <c r="D182" s="620"/>
      <c r="E182" s="246">
        <f>SUMIF('Unit Rates'!J:J,$C182,'Unit Rates'!F:F)</f>
        <v>1570</v>
      </c>
      <c r="F182" s="243">
        <f t="shared" si="31"/>
        <v>0</v>
      </c>
      <c r="G182" s="243">
        <f t="shared" si="31"/>
        <v>0</v>
      </c>
      <c r="H182" s="243">
        <f t="shared" si="31"/>
        <v>0</v>
      </c>
      <c r="I182" s="243">
        <f t="shared" si="31"/>
        <v>0</v>
      </c>
      <c r="J182" s="244">
        <f t="shared" si="31"/>
        <v>0</v>
      </c>
      <c r="K182" s="485"/>
      <c r="L182" s="4"/>
    </row>
    <row r="183" spans="1:20" s="14" customFormat="1" x14ac:dyDescent="0.2">
      <c r="A183" s="4"/>
      <c r="B183" s="40" t="s">
        <v>23</v>
      </c>
      <c r="C183" s="619" t="str">
        <f t="shared" si="30"/>
        <v>Gravel pits</v>
      </c>
      <c r="D183" s="620"/>
      <c r="E183" s="246">
        <f>SUMIF('Unit Rates'!J:J,$C183,'Unit Rates'!F:F)</f>
        <v>3076.67</v>
      </c>
      <c r="F183" s="243">
        <f t="shared" si="31"/>
        <v>0</v>
      </c>
      <c r="G183" s="243">
        <f t="shared" si="31"/>
        <v>0</v>
      </c>
      <c r="H183" s="243">
        <f t="shared" si="31"/>
        <v>0</v>
      </c>
      <c r="I183" s="243">
        <f t="shared" si="31"/>
        <v>0</v>
      </c>
      <c r="J183" s="244">
        <f t="shared" si="31"/>
        <v>0</v>
      </c>
      <c r="K183" s="485"/>
      <c r="L183" s="4"/>
    </row>
    <row r="184" spans="1:20" s="14" customFormat="1" x14ac:dyDescent="0.2">
      <c r="A184" s="4"/>
      <c r="B184" s="40" t="s">
        <v>23</v>
      </c>
      <c r="C184" s="619" t="str">
        <f t="shared" si="30"/>
        <v>Well pad</v>
      </c>
      <c r="D184" s="620"/>
      <c r="E184" s="246">
        <f>SUMIF('Unit Rates'!J:J,$C184,'Unit Rates'!F:F)</f>
        <v>5785</v>
      </c>
      <c r="F184" s="243">
        <f t="shared" si="31"/>
        <v>0</v>
      </c>
      <c r="G184" s="243">
        <f t="shared" si="31"/>
        <v>0</v>
      </c>
      <c r="H184" s="243">
        <f t="shared" si="31"/>
        <v>0</v>
      </c>
      <c r="I184" s="243">
        <f t="shared" si="31"/>
        <v>0</v>
      </c>
      <c r="J184" s="244">
        <f t="shared" si="31"/>
        <v>0</v>
      </c>
      <c r="K184" s="485"/>
      <c r="L184" s="4"/>
    </row>
    <row r="185" spans="1:20" s="14" customFormat="1" x14ac:dyDescent="0.2">
      <c r="A185" s="4"/>
      <c r="B185" s="40" t="s">
        <v>23</v>
      </c>
      <c r="C185" s="619" t="str">
        <f t="shared" si="30"/>
        <v>Camp - With seeding</v>
      </c>
      <c r="D185" s="620"/>
      <c r="E185" s="246">
        <f>SUMIF('Unit Rates'!J:J,$C185,'Unit Rates'!F:F)</f>
        <v>3439</v>
      </c>
      <c r="F185" s="243">
        <f t="shared" si="31"/>
        <v>0</v>
      </c>
      <c r="G185" s="243">
        <f t="shared" si="31"/>
        <v>0</v>
      </c>
      <c r="H185" s="243">
        <f t="shared" si="31"/>
        <v>0</v>
      </c>
      <c r="I185" s="243">
        <f t="shared" si="31"/>
        <v>0</v>
      </c>
      <c r="J185" s="244">
        <f t="shared" si="31"/>
        <v>0</v>
      </c>
      <c r="K185" s="485"/>
      <c r="L185" s="4"/>
    </row>
    <row r="186" spans="1:20" s="14" customFormat="1" x14ac:dyDescent="0.2">
      <c r="A186" s="4"/>
      <c r="B186" s="40" t="s">
        <v>23</v>
      </c>
      <c r="C186" s="619" t="str">
        <f t="shared" si="30"/>
        <v>Camp - No seeding</v>
      </c>
      <c r="D186" s="620"/>
      <c r="E186" s="246">
        <f>SUMIF('Unit Rates'!J:J,$C186,'Unit Rates'!F:F)</f>
        <v>2630</v>
      </c>
      <c r="F186" s="243">
        <f t="shared" si="31"/>
        <v>0</v>
      </c>
      <c r="G186" s="243">
        <f t="shared" si="31"/>
        <v>0</v>
      </c>
      <c r="H186" s="243">
        <f t="shared" si="31"/>
        <v>0</v>
      </c>
      <c r="I186" s="243">
        <f t="shared" si="31"/>
        <v>0</v>
      </c>
      <c r="J186" s="244">
        <f t="shared" si="31"/>
        <v>0</v>
      </c>
      <c r="K186" s="485"/>
      <c r="L186" s="4"/>
      <c r="M186" s="4"/>
      <c r="N186" s="4"/>
      <c r="O186" s="4"/>
      <c r="P186" s="4"/>
      <c r="Q186" s="4"/>
      <c r="R186" s="4"/>
      <c r="S186" s="4"/>
      <c r="T186" s="4"/>
    </row>
    <row r="187" spans="1:20" s="14" customFormat="1" x14ac:dyDescent="0.2">
      <c r="A187" s="4"/>
      <c r="B187" s="40" t="s">
        <v>23</v>
      </c>
      <c r="C187" s="619" t="str">
        <f t="shared" si="30"/>
        <v>Miscellaneous clearing - With seeding</v>
      </c>
      <c r="D187" s="620"/>
      <c r="E187" s="246">
        <f>SUMIF('Unit Rates'!J:J,$C187,'Unit Rates'!F:F)</f>
        <v>3439</v>
      </c>
      <c r="F187" s="243">
        <f t="shared" si="31"/>
        <v>0</v>
      </c>
      <c r="G187" s="243">
        <f t="shared" si="31"/>
        <v>0</v>
      </c>
      <c r="H187" s="243">
        <f t="shared" si="31"/>
        <v>0</v>
      </c>
      <c r="I187" s="243">
        <f t="shared" si="31"/>
        <v>0</v>
      </c>
      <c r="J187" s="244">
        <f t="shared" si="31"/>
        <v>0</v>
      </c>
      <c r="K187" s="485"/>
      <c r="L187" s="4"/>
      <c r="M187" s="4"/>
      <c r="N187" s="4"/>
      <c r="O187" s="4"/>
      <c r="P187" s="4"/>
      <c r="Q187" s="4"/>
      <c r="R187" s="4"/>
      <c r="S187" s="4"/>
      <c r="T187" s="4"/>
    </row>
    <row r="188" spans="1:20" s="14" customFormat="1" x14ac:dyDescent="0.2">
      <c r="A188" s="4"/>
      <c r="B188" s="40" t="s">
        <v>23</v>
      </c>
      <c r="C188" s="619" t="str">
        <f t="shared" si="30"/>
        <v>Miscellaneous clearing - No seeding</v>
      </c>
      <c r="D188" s="620"/>
      <c r="E188" s="246">
        <f>SUMIF('Unit Rates'!J:J,$C188,'Unit Rates'!F:F)</f>
        <v>2630</v>
      </c>
      <c r="F188" s="243">
        <f t="shared" si="31"/>
        <v>0</v>
      </c>
      <c r="G188" s="243">
        <f t="shared" si="31"/>
        <v>0</v>
      </c>
      <c r="H188" s="243">
        <f t="shared" si="31"/>
        <v>0</v>
      </c>
      <c r="I188" s="243">
        <f t="shared" si="31"/>
        <v>0</v>
      </c>
      <c r="J188" s="244">
        <f t="shared" si="31"/>
        <v>0</v>
      </c>
      <c r="K188" s="485"/>
      <c r="L188" s="4"/>
      <c r="M188" s="4"/>
      <c r="N188" s="4"/>
      <c r="O188" s="4"/>
      <c r="P188" s="4"/>
      <c r="Q188" s="4"/>
      <c r="R188" s="4"/>
      <c r="S188" s="4"/>
      <c r="T188" s="4"/>
    </row>
    <row r="189" spans="1:20" s="14" customFormat="1" x14ac:dyDescent="0.2">
      <c r="A189" s="4"/>
      <c r="B189" s="40" t="s">
        <v>32</v>
      </c>
      <c r="C189" s="619" t="str">
        <f t="shared" si="30"/>
        <v>Fencing</v>
      </c>
      <c r="D189" s="620"/>
      <c r="E189" s="247">
        <f>SUMIF('Unit Rates'!J:J,$C189,'Unit Rates'!F:F)</f>
        <v>2.5499999999999998</v>
      </c>
      <c r="F189" s="243">
        <f t="shared" si="31"/>
        <v>0</v>
      </c>
      <c r="G189" s="243">
        <f t="shared" si="31"/>
        <v>0</v>
      </c>
      <c r="H189" s="243">
        <f t="shared" si="31"/>
        <v>0</v>
      </c>
      <c r="I189" s="243">
        <f t="shared" si="31"/>
        <v>0</v>
      </c>
      <c r="J189" s="244">
        <f t="shared" si="31"/>
        <v>0</v>
      </c>
      <c r="K189" s="485"/>
      <c r="L189" s="4"/>
      <c r="M189" s="4"/>
      <c r="N189" s="4"/>
      <c r="O189" s="4"/>
      <c r="P189" s="4"/>
      <c r="Q189" s="4"/>
      <c r="R189" s="4"/>
      <c r="S189" s="4"/>
      <c r="T189" s="4"/>
    </row>
    <row r="190" spans="1:20" s="14" customFormat="1" x14ac:dyDescent="0.2">
      <c r="A190" s="4"/>
      <c r="B190" s="40" t="s">
        <v>32</v>
      </c>
      <c r="C190" s="619" t="str">
        <f t="shared" si="30"/>
        <v>Groundwater bore &lt; 70m TVD</v>
      </c>
      <c r="D190" s="620"/>
      <c r="E190" s="246">
        <f>SUMIF('Unit Rates'!J:J,$C190,'Unit Rates'!F:F)</f>
        <v>12150</v>
      </c>
      <c r="F190" s="243">
        <f t="shared" ref="F190:J197" si="32">$E190*F150</f>
        <v>0</v>
      </c>
      <c r="G190" s="243">
        <f t="shared" si="32"/>
        <v>0</v>
      </c>
      <c r="H190" s="243">
        <f t="shared" si="32"/>
        <v>0</v>
      </c>
      <c r="I190" s="243">
        <f t="shared" si="32"/>
        <v>0</v>
      </c>
      <c r="J190" s="244">
        <f t="shared" si="32"/>
        <v>0</v>
      </c>
      <c r="K190" s="485"/>
      <c r="L190" s="4"/>
      <c r="M190" s="4"/>
      <c r="N190" s="4"/>
      <c r="O190" s="4"/>
      <c r="P190" s="4"/>
      <c r="Q190" s="4"/>
      <c r="R190" s="4"/>
      <c r="S190" s="4"/>
      <c r="T190" s="4"/>
    </row>
    <row r="191" spans="1:20" s="14" customFormat="1" x14ac:dyDescent="0.2">
      <c r="A191" s="4"/>
      <c r="B191" s="40" t="s">
        <v>32</v>
      </c>
      <c r="C191" s="619" t="str">
        <f t="shared" si="30"/>
        <v>Groundwater bore ≥ 70m TVD</v>
      </c>
      <c r="D191" s="620"/>
      <c r="E191" s="246">
        <f>SUMIF('Unit Rates'!J:J,$C191,'Unit Rates'!F:F)</f>
        <v>15150</v>
      </c>
      <c r="F191" s="243">
        <f t="shared" si="32"/>
        <v>0</v>
      </c>
      <c r="G191" s="243">
        <f t="shared" si="32"/>
        <v>0</v>
      </c>
      <c r="H191" s="243">
        <f t="shared" si="32"/>
        <v>0</v>
      </c>
      <c r="I191" s="243">
        <f t="shared" si="32"/>
        <v>0</v>
      </c>
      <c r="J191" s="244">
        <f t="shared" si="32"/>
        <v>0</v>
      </c>
      <c r="K191" s="485"/>
      <c r="L191" s="4"/>
      <c r="M191" s="4"/>
      <c r="N191" s="4"/>
      <c r="Q191" s="4"/>
      <c r="R191" s="4"/>
      <c r="S191" s="4"/>
      <c r="T191" s="4"/>
    </row>
    <row r="192" spans="1:20" s="14" customFormat="1" x14ac:dyDescent="0.2">
      <c r="A192" s="4"/>
      <c r="B192" s="40" t="s">
        <v>32</v>
      </c>
      <c r="C192" s="619" t="str">
        <f t="shared" si="30"/>
        <v>Drill sump liners</v>
      </c>
      <c r="D192" s="620"/>
      <c r="E192" s="246">
        <f>SUMIF('Unit Rates'!J:J,$C192,'Unit Rates'!F:F)</f>
        <v>5050</v>
      </c>
      <c r="F192" s="243">
        <f t="shared" si="32"/>
        <v>0</v>
      </c>
      <c r="G192" s="243">
        <f t="shared" si="32"/>
        <v>0</v>
      </c>
      <c r="H192" s="243">
        <f t="shared" si="32"/>
        <v>0</v>
      </c>
      <c r="I192" s="243">
        <f t="shared" si="32"/>
        <v>0</v>
      </c>
      <c r="J192" s="244">
        <f t="shared" si="32"/>
        <v>0</v>
      </c>
      <c r="K192" s="485"/>
      <c r="L192" s="4"/>
      <c r="M192" s="4"/>
      <c r="N192" s="423">
        <v>0</v>
      </c>
      <c r="O192" s="424" t="s">
        <v>276</v>
      </c>
      <c r="R192" s="155"/>
    </row>
    <row r="193" spans="1:25" s="14" customFormat="1" x14ac:dyDescent="0.2">
      <c r="A193" s="4"/>
      <c r="B193" s="40" t="s">
        <v>32</v>
      </c>
      <c r="C193" s="619" t="str">
        <f t="shared" si="30"/>
        <v>Drill sump</v>
      </c>
      <c r="D193" s="620"/>
      <c r="E193" s="247">
        <f>SUMIF('Unit Rates'!J:J,$C193,'Unit Rates'!F:F)</f>
        <v>2.36</v>
      </c>
      <c r="F193" s="243">
        <f t="shared" si="32"/>
        <v>0</v>
      </c>
      <c r="G193" s="243">
        <f t="shared" si="32"/>
        <v>0</v>
      </c>
      <c r="H193" s="243">
        <f t="shared" si="32"/>
        <v>0</v>
      </c>
      <c r="I193" s="243">
        <f t="shared" si="32"/>
        <v>0</v>
      </c>
      <c r="J193" s="244">
        <f t="shared" si="32"/>
        <v>0</v>
      </c>
      <c r="K193" s="485"/>
      <c r="L193" s="4"/>
      <c r="M193" s="4"/>
      <c r="N193" s="151">
        <v>1</v>
      </c>
      <c r="O193" s="152" t="s">
        <v>211</v>
      </c>
      <c r="R193" s="155"/>
    </row>
    <row r="194" spans="1:25" s="14" customFormat="1" x14ac:dyDescent="0.2">
      <c r="A194" s="4"/>
      <c r="B194" s="40" t="s">
        <v>32</v>
      </c>
      <c r="C194" s="619" t="str">
        <f t="shared" si="30"/>
        <v>Flare pit</v>
      </c>
      <c r="D194" s="620"/>
      <c r="E194" s="247">
        <f>SUMIF('Unit Rates'!J:J,$C194,'Unit Rates'!F:F)</f>
        <v>2.36</v>
      </c>
      <c r="F194" s="243">
        <f t="shared" si="32"/>
        <v>0</v>
      </c>
      <c r="G194" s="243">
        <f t="shared" si="32"/>
        <v>0</v>
      </c>
      <c r="H194" s="243">
        <f t="shared" si="32"/>
        <v>0</v>
      </c>
      <c r="I194" s="243">
        <f t="shared" si="32"/>
        <v>0</v>
      </c>
      <c r="J194" s="244">
        <f t="shared" si="32"/>
        <v>0</v>
      </c>
      <c r="K194" s="485"/>
      <c r="L194" s="4"/>
      <c r="M194" s="4"/>
      <c r="N194" s="151">
        <v>2</v>
      </c>
      <c r="O194" s="152" t="s">
        <v>212</v>
      </c>
      <c r="R194" s="155"/>
    </row>
    <row r="195" spans="1:25" s="14" customFormat="1" x14ac:dyDescent="0.2">
      <c r="A195" s="4"/>
      <c r="B195" s="40" t="s">
        <v>32</v>
      </c>
      <c r="C195" s="619" t="str">
        <f t="shared" si="30"/>
        <v>Wastewater tank</v>
      </c>
      <c r="D195" s="620"/>
      <c r="E195" s="246">
        <f>SUMIF('Unit Rates'!J:J,$C195,'Unit Rates'!F:F)</f>
        <v>15100</v>
      </c>
      <c r="F195" s="243">
        <f t="shared" si="32"/>
        <v>0</v>
      </c>
      <c r="G195" s="243">
        <f t="shared" si="32"/>
        <v>0</v>
      </c>
      <c r="H195" s="243">
        <f t="shared" si="32"/>
        <v>0</v>
      </c>
      <c r="I195" s="243">
        <f t="shared" si="32"/>
        <v>0</v>
      </c>
      <c r="J195" s="244">
        <f t="shared" si="32"/>
        <v>0</v>
      </c>
      <c r="K195" s="485"/>
      <c r="L195" s="4"/>
      <c r="M195" s="4"/>
      <c r="N195" s="425">
        <v>3</v>
      </c>
      <c r="O195" s="426" t="s">
        <v>213</v>
      </c>
      <c r="R195" s="155"/>
    </row>
    <row r="196" spans="1:25" s="14" customFormat="1" x14ac:dyDescent="0.2">
      <c r="A196" s="4"/>
      <c r="B196" s="40" t="s">
        <v>32</v>
      </c>
      <c r="C196" s="619" t="str">
        <f t="shared" si="30"/>
        <v>Wastewater treatment plant (camp)</v>
      </c>
      <c r="D196" s="620"/>
      <c r="E196" s="246">
        <f>SUMIF('Unit Rates'!J:J,$C196,'Unit Rates'!F:F)</f>
        <v>7850</v>
      </c>
      <c r="F196" s="243">
        <f t="shared" si="32"/>
        <v>0</v>
      </c>
      <c r="G196" s="243">
        <f t="shared" si="32"/>
        <v>0</v>
      </c>
      <c r="H196" s="243">
        <f t="shared" si="32"/>
        <v>0</v>
      </c>
      <c r="I196" s="243">
        <f t="shared" si="32"/>
        <v>0</v>
      </c>
      <c r="J196" s="244">
        <f t="shared" si="32"/>
        <v>0</v>
      </c>
      <c r="K196" s="485"/>
      <c r="L196" s="4"/>
      <c r="M196" s="4"/>
      <c r="N196" s="425">
        <v>4</v>
      </c>
      <c r="O196" s="426" t="s">
        <v>214</v>
      </c>
      <c r="R196" s="155"/>
    </row>
    <row r="197" spans="1:25" s="14" customFormat="1" x14ac:dyDescent="0.2">
      <c r="A197" s="4"/>
      <c r="B197" s="40" t="s">
        <v>32</v>
      </c>
      <c r="C197" s="619" t="str">
        <f t="shared" si="30"/>
        <v>Turkey's nest</v>
      </c>
      <c r="D197" s="620"/>
      <c r="E197" s="247">
        <f>SUMIF('Unit Rates'!J:J,$C197,'Unit Rates'!F:F)</f>
        <v>2.36</v>
      </c>
      <c r="F197" s="243">
        <f t="shared" si="32"/>
        <v>0</v>
      </c>
      <c r="G197" s="243">
        <f t="shared" si="32"/>
        <v>0</v>
      </c>
      <c r="H197" s="243">
        <f t="shared" si="32"/>
        <v>0</v>
      </c>
      <c r="I197" s="243">
        <f t="shared" si="32"/>
        <v>0</v>
      </c>
      <c r="J197" s="244">
        <f t="shared" si="32"/>
        <v>0</v>
      </c>
      <c r="K197" s="485"/>
      <c r="L197" s="4"/>
      <c r="M197" s="4"/>
      <c r="N197" s="427">
        <v>5</v>
      </c>
      <c r="O197" s="428" t="s">
        <v>215</v>
      </c>
      <c r="P197" s="155"/>
      <c r="Q197" s="167"/>
      <c r="R197" s="155"/>
    </row>
    <row r="198" spans="1:25" s="14" customFormat="1" x14ac:dyDescent="0.2">
      <c r="A198" s="4"/>
      <c r="B198" s="40" t="s">
        <v>32</v>
      </c>
      <c r="C198" s="619" t="str">
        <f t="shared" si="30"/>
        <v>Camp capacity</v>
      </c>
      <c r="D198" s="620"/>
      <c r="E198" s="246" t="s">
        <v>210</v>
      </c>
      <c r="F198" s="243">
        <f>IF(F98&lt;21,F99*45000,(IF(AND(F98&gt;=21,F98&lt;51),F99*65000,(IF(AND(F98&gt;=51,F98&lt;101),F99*95000,(IF(AND(F98&gt;=101,F98&lt;151),F99*140000,(IF(F98&gt;=151,F99*170000,0)))))))))</f>
        <v>0</v>
      </c>
      <c r="G198" s="243">
        <f t="shared" ref="G198:J198" si="33">IF(G98&lt;21,G99*45000,(IF(AND(G98&gt;=21,G98&lt;51),G99*65000,(IF(AND(G98&gt;=51,G98&lt;101),G99*95000,(IF(AND(G98&gt;=101,G98&lt;151),G99*140000,(IF(G98&gt;=151,G99*170000,0)))))))))</f>
        <v>0</v>
      </c>
      <c r="H198" s="243">
        <f t="shared" si="33"/>
        <v>0</v>
      </c>
      <c r="I198" s="243">
        <f t="shared" si="33"/>
        <v>0</v>
      </c>
      <c r="J198" s="244">
        <f t="shared" si="33"/>
        <v>0</v>
      </c>
      <c r="K198" s="485"/>
      <c r="L198" s="4"/>
      <c r="M198" s="4"/>
      <c r="N198" s="4"/>
      <c r="O198" s="4"/>
      <c r="P198" s="4"/>
      <c r="Q198" s="4"/>
      <c r="R198" s="4"/>
      <c r="S198" s="4"/>
      <c r="T198" s="4"/>
      <c r="U198" s="4"/>
      <c r="V198" s="4"/>
      <c r="W198" s="4"/>
      <c r="X198" s="4"/>
      <c r="Y198" s="4"/>
    </row>
    <row r="199" spans="1:25" s="14" customFormat="1" x14ac:dyDescent="0.2">
      <c r="A199" s="4"/>
      <c r="B199" s="40" t="s">
        <v>32</v>
      </c>
      <c r="C199" s="619" t="str">
        <f t="shared" si="30"/>
        <v>Flowlines / pipelines - Above and below ground</v>
      </c>
      <c r="D199" s="620"/>
      <c r="E199" s="246">
        <f>SUMIF('Unit Rates'!J:J,$C199,'Unit Rates'!F:F)</f>
        <v>12.1</v>
      </c>
      <c r="F199" s="243">
        <f t="shared" ref="F199:J200" si="34">$E199*F159</f>
        <v>0</v>
      </c>
      <c r="G199" s="243">
        <f t="shared" si="34"/>
        <v>0</v>
      </c>
      <c r="H199" s="243">
        <f t="shared" si="34"/>
        <v>0</v>
      </c>
      <c r="I199" s="243">
        <f t="shared" si="34"/>
        <v>0</v>
      </c>
      <c r="J199" s="244">
        <f t="shared" si="34"/>
        <v>0</v>
      </c>
      <c r="K199" s="485"/>
      <c r="L199" s="4"/>
      <c r="M199" s="4"/>
      <c r="N199" s="4"/>
      <c r="O199" s="4"/>
      <c r="P199" s="4"/>
      <c r="Q199" s="4"/>
      <c r="R199" s="4"/>
      <c r="S199" s="4"/>
      <c r="T199" s="4"/>
      <c r="U199" s="4"/>
      <c r="V199" s="4"/>
      <c r="W199" s="4"/>
      <c r="X199" s="4"/>
      <c r="Y199" s="4"/>
    </row>
    <row r="200" spans="1:25" s="14" customFormat="1" x14ac:dyDescent="0.2">
      <c r="A200" s="4"/>
      <c r="B200" s="40" t="s">
        <v>32</v>
      </c>
      <c r="C200" s="634" t="str">
        <f t="shared" si="30"/>
        <v>Contaminated soil testing  - Per well pad</v>
      </c>
      <c r="D200" s="625"/>
      <c r="E200" s="246">
        <f>SUMIF('Unit Rates'!J:J,$C200,'Unit Rates'!F:F)</f>
        <v>65500</v>
      </c>
      <c r="F200" s="243">
        <f t="shared" si="34"/>
        <v>0</v>
      </c>
      <c r="G200" s="243">
        <f t="shared" si="34"/>
        <v>0</v>
      </c>
      <c r="H200" s="243">
        <f t="shared" si="34"/>
        <v>0</v>
      </c>
      <c r="I200" s="243">
        <f t="shared" si="34"/>
        <v>0</v>
      </c>
      <c r="J200" s="244">
        <f t="shared" si="34"/>
        <v>0</v>
      </c>
      <c r="K200" s="485"/>
      <c r="L200" s="4"/>
      <c r="M200" s="4"/>
      <c r="N200" s="4"/>
      <c r="O200" s="4"/>
      <c r="P200" s="4"/>
      <c r="Q200" s="4"/>
      <c r="R200" s="4"/>
      <c r="S200" s="4"/>
      <c r="T200" s="4"/>
      <c r="U200" s="4"/>
      <c r="V200" s="4"/>
      <c r="W200" s="4"/>
      <c r="X200" s="4"/>
      <c r="Y200" s="4"/>
    </row>
    <row r="201" spans="1:25" s="14" customFormat="1" x14ac:dyDescent="0.2">
      <c r="A201" s="4"/>
      <c r="B201" s="40" t="s">
        <v>35</v>
      </c>
      <c r="C201" s="619" t="str">
        <f t="shared" si="30"/>
        <v>General waste</v>
      </c>
      <c r="D201" s="620"/>
      <c r="E201" s="246">
        <f>SUMIF('Unit Rates'!J:J,$C201,'Unit Rates'!F:F)</f>
        <v>150</v>
      </c>
      <c r="F201" s="243">
        <f>(CEILING(F161/55,1)*'Unit Rates'!$F$48)*$L$6+($E201*F161)</f>
        <v>0</v>
      </c>
      <c r="G201" s="243">
        <f>(CEILING(G161/55,1)*'Unit Rates'!$F$48)*$L$6+($E201*G161)</f>
        <v>0</v>
      </c>
      <c r="H201" s="243">
        <f>(CEILING(H161/55,1)*'Unit Rates'!$F$48)*$L$6+($E201*H161)</f>
        <v>0</v>
      </c>
      <c r="I201" s="243">
        <f>(CEILING(I161/55,1)*'Unit Rates'!$F$48)*$L$6+($E201*I161)</f>
        <v>0</v>
      </c>
      <c r="J201" s="244">
        <f>(CEILING(J161/55,1)*'Unit Rates'!$F$48)*$L$6+($E201*J161)</f>
        <v>0</v>
      </c>
      <c r="K201" s="485"/>
      <c r="L201" s="4"/>
      <c r="M201" s="4"/>
      <c r="N201" s="4"/>
      <c r="O201" s="4"/>
      <c r="P201" s="4"/>
      <c r="Q201" s="4"/>
      <c r="R201" s="4"/>
      <c r="S201" s="4"/>
      <c r="T201" s="4"/>
      <c r="U201" s="4"/>
      <c r="V201" s="4"/>
      <c r="W201" s="4"/>
      <c r="X201" s="4"/>
      <c r="Y201" s="4"/>
    </row>
    <row r="202" spans="1:25" s="14" customFormat="1" x14ac:dyDescent="0.2">
      <c r="A202" s="4"/>
      <c r="B202" s="40" t="s">
        <v>35</v>
      </c>
      <c r="C202" s="619" t="str">
        <f t="shared" si="30"/>
        <v>Listed waste</v>
      </c>
      <c r="D202" s="620"/>
      <c r="E202" s="246">
        <f>SUMIF('Unit Rates'!J:J,$C202,'Unit Rates'!F:F)</f>
        <v>700</v>
      </c>
      <c r="F202" s="243">
        <f>(CEILING(F162/55,1)*'Unit Rates'!$F$48)*$L$6+($E202*F162)</f>
        <v>0</v>
      </c>
      <c r="G202" s="243">
        <f>(CEILING(G162/55,1)*'Unit Rates'!$F$48)*$L$6+($E202*G162)</f>
        <v>0</v>
      </c>
      <c r="H202" s="243">
        <f>(CEILING(H162/55,1)*'Unit Rates'!$F$48)*$L$6+($E202*H162)</f>
        <v>0</v>
      </c>
      <c r="I202" s="243">
        <f>(CEILING(I162/55,1)*'Unit Rates'!$F$48)*$L$6+($E202*I162)</f>
        <v>0</v>
      </c>
      <c r="J202" s="244">
        <f>(CEILING(J162/55,1)*'Unit Rates'!$F$48)*$L$6+($E202*J162)</f>
        <v>0</v>
      </c>
      <c r="K202" s="485"/>
      <c r="L202" s="4"/>
      <c r="M202" s="4"/>
      <c r="N202" s="4"/>
      <c r="O202" s="41"/>
      <c r="P202" s="41"/>
      <c r="Q202" s="41" t="s">
        <v>60</v>
      </c>
      <c r="R202" s="41"/>
      <c r="S202" s="41"/>
      <c r="T202" s="4"/>
      <c r="U202" s="4"/>
      <c r="V202" s="4"/>
      <c r="W202" s="4"/>
      <c r="X202" s="4"/>
      <c r="Y202" s="4"/>
    </row>
    <row r="203" spans="1:25" s="14" customFormat="1" x14ac:dyDescent="0.2">
      <c r="A203" s="4"/>
      <c r="B203" s="40" t="s">
        <v>35</v>
      </c>
      <c r="C203" s="619" t="str">
        <f t="shared" si="30"/>
        <v xml:space="preserve">Chemical waste </v>
      </c>
      <c r="D203" s="620"/>
      <c r="E203" s="246">
        <f>SUMIF('Unit Rates'!J:J,$C203,'Unit Rates'!F:F)</f>
        <v>500</v>
      </c>
      <c r="F203" s="243">
        <f>(CEILING(F163/55,1)*'Unit Rates'!$F$48)*$L$6+($E203*F163)</f>
        <v>0</v>
      </c>
      <c r="G203" s="243">
        <f>(CEILING(G163/55,1)*'Unit Rates'!$F$48)*$L$6+($E203*G163)</f>
        <v>0</v>
      </c>
      <c r="H203" s="243">
        <f>(CEILING(H163/55,1)*'Unit Rates'!$F$48)*$L$6+($E203*H163)</f>
        <v>0</v>
      </c>
      <c r="I203" s="243">
        <f>(CEILING(I163/55,1)*'Unit Rates'!$F$48)*$L$6+($E203*I163)</f>
        <v>0</v>
      </c>
      <c r="J203" s="244">
        <f>(CEILING(J163/55,1)*'Unit Rates'!$F$48)*$L$6+($E203*J163)</f>
        <v>0</v>
      </c>
      <c r="K203" s="485"/>
      <c r="M203" s="4"/>
      <c r="N203" s="4"/>
      <c r="O203" s="39" t="s">
        <v>216</v>
      </c>
      <c r="P203" s="39" t="s">
        <v>217</v>
      </c>
      <c r="Q203" s="39" t="s">
        <v>218</v>
      </c>
      <c r="R203" s="14" t="s">
        <v>219</v>
      </c>
      <c r="S203" s="14" t="s">
        <v>220</v>
      </c>
    </row>
    <row r="204" spans="1:25" s="14" customFormat="1" x14ac:dyDescent="0.2">
      <c r="A204" s="474"/>
      <c r="B204" s="40" t="s">
        <v>35</v>
      </c>
      <c r="C204" s="619" t="str">
        <f t="shared" si="30"/>
        <v>Hydraulic Fracking Fluid</v>
      </c>
      <c r="D204" s="620"/>
      <c r="E204" s="246" t="s">
        <v>210</v>
      </c>
      <c r="F204" s="243">
        <f>((SUMIF('Unit Rates'!$J:$J,O204,'Unit Rates'!$F:$F))*F164*1000000)+N164*$L$9</f>
        <v>0</v>
      </c>
      <c r="G204" s="243">
        <f>((SUMIF('Unit Rates'!$J:$J,P204,'Unit Rates'!$F:$F))*G164*1000000)+O164*$L$9</f>
        <v>0</v>
      </c>
      <c r="H204" s="243">
        <f>((SUMIF('Unit Rates'!$J:$J,Q204,'Unit Rates'!$F:$F))*H164*1000000)+P164*$L$9</f>
        <v>0</v>
      </c>
      <c r="I204" s="243">
        <f>((SUMIF('Unit Rates'!$J:$J,R204,'Unit Rates'!$F:$F))*I164*1000000)+Q164*$L$9</f>
        <v>0</v>
      </c>
      <c r="J204" s="244">
        <f>((SUMIF('Unit Rates'!$J:$J,S204,'Unit Rates'!$F:$F))*J164*1000000)+R164*$L$9</f>
        <v>0</v>
      </c>
      <c r="K204" s="475"/>
      <c r="L204" s="476"/>
      <c r="M204" s="474"/>
      <c r="N204" s="429" t="s">
        <v>179</v>
      </c>
      <c r="O204" s="249" t="str">
        <f>'Unit Rates'!$I$49&amp;" - "&amp;VLOOKUP(F$112,$N$192:$O$197,2,FALSE)&amp;" - "&amp;$L$7</f>
        <v xml:space="preserve">Disposal of wastewater and drilling muds - 0g/L - </v>
      </c>
      <c r="P204" s="249" t="str">
        <f>'Unit Rates'!$I$49&amp;" - "&amp;VLOOKUP(G$112,$N$192:$O$197,2,FALSE)&amp;" - "&amp;$L$7</f>
        <v xml:space="preserve">Disposal of wastewater and drilling muds - 0g/L - </v>
      </c>
      <c r="Q204" s="249" t="str">
        <f>'Unit Rates'!$I$49&amp;" - "&amp;VLOOKUP(H$112,$N$192:$O$197,2,FALSE)&amp;" - "&amp;$L$7</f>
        <v xml:space="preserve">Disposal of wastewater and drilling muds - 0g/L - </v>
      </c>
      <c r="R204" s="249" t="str">
        <f>'Unit Rates'!$I$49&amp;" - "&amp;VLOOKUP(I$112,$N$192:$O$197,2,FALSE)&amp;" - "&amp;$L$7</f>
        <v xml:space="preserve">Disposal of wastewater and drilling muds - 0g/L - </v>
      </c>
      <c r="S204" s="430" t="str">
        <f>'Unit Rates'!$I$49&amp;" - "&amp;VLOOKUP(J$112,$N$192:$O$197,2,FALSE)&amp;" - "&amp;$L$7</f>
        <v xml:space="preserve">Disposal of wastewater and drilling muds - 0g/L - </v>
      </c>
      <c r="T204" s="474"/>
      <c r="U204" s="474"/>
      <c r="V204" s="474"/>
      <c r="W204" s="474"/>
      <c r="X204" s="474"/>
      <c r="Y204" s="474"/>
    </row>
    <row r="205" spans="1:25" s="14" customFormat="1" x14ac:dyDescent="0.2">
      <c r="A205" s="4"/>
      <c r="B205" s="40" t="s">
        <v>35</v>
      </c>
      <c r="C205" s="619" t="str">
        <f t="shared" si="30"/>
        <v>Produced water (formation water)</v>
      </c>
      <c r="D205" s="620"/>
      <c r="E205" s="246" t="s">
        <v>210</v>
      </c>
      <c r="F205" s="243">
        <f>((SUMIF('Unit Rates'!$J:$J,O205,'Unit Rates'!$F:$F))*F165*1000000)+N165*$L$9</f>
        <v>0</v>
      </c>
      <c r="G205" s="243">
        <f>((SUMIF('Unit Rates'!$J:$J,P205,'Unit Rates'!$F:$F))*G165*1000000)+O165*$L$9</f>
        <v>0</v>
      </c>
      <c r="H205" s="243">
        <f>((SUMIF('Unit Rates'!$J:$J,Q205,'Unit Rates'!$F:$F))*H165*1000000)+P165*$L$9</f>
        <v>0</v>
      </c>
      <c r="I205" s="243">
        <f>((SUMIF('Unit Rates'!$J:$J,R205,'Unit Rates'!$F:$F))*I165*1000000)+Q165*$L$9</f>
        <v>0</v>
      </c>
      <c r="J205" s="244">
        <f>((SUMIF('Unit Rates'!$J:$J,S205,'Unit Rates'!$F:$F))*J165*1000000)+R165*$L$9</f>
        <v>0</v>
      </c>
      <c r="K205" s="485"/>
      <c r="L205" s="4"/>
      <c r="M205" s="4"/>
      <c r="N205" s="431" t="s">
        <v>194</v>
      </c>
      <c r="O205" s="249" t="str">
        <f>'Unit Rates'!$I$49&amp;" - "&amp;VLOOKUP(F$117,$N$192:$O$197,2,FALSE)&amp;" - "&amp;$L$7</f>
        <v xml:space="preserve">Disposal of wastewater and drilling muds - 0g/L - </v>
      </c>
      <c r="P205" s="249" t="str">
        <f>'Unit Rates'!$I$49&amp;" - "&amp;VLOOKUP(G$117,$N$192:$O$197,2,FALSE)&amp;" - "&amp;$L$7</f>
        <v xml:space="preserve">Disposal of wastewater and drilling muds - 0g/L - </v>
      </c>
      <c r="Q205" s="249" t="str">
        <f>'Unit Rates'!$I$49&amp;" - "&amp;VLOOKUP(H$117,$N$192:$O$197,2,FALSE)&amp;" - "&amp;$L$7</f>
        <v xml:space="preserve">Disposal of wastewater and drilling muds - 0g/L - </v>
      </c>
      <c r="R205" s="249" t="str">
        <f>'Unit Rates'!$I$49&amp;" - "&amp;VLOOKUP(I$117,$N$192:$O$197,2,FALSE)&amp;" - "&amp;$L$7</f>
        <v xml:space="preserve">Disposal of wastewater and drilling muds - 0g/L - </v>
      </c>
      <c r="S205" s="430" t="str">
        <f>'Unit Rates'!$I$49&amp;" - "&amp;VLOOKUP(J$117,$N$192:$O$197,2,FALSE)&amp;" - "&amp;$L$7</f>
        <v xml:space="preserve">Disposal of wastewater and drilling muds - 0g/L - </v>
      </c>
      <c r="T205" s="4"/>
      <c r="U205" s="4"/>
      <c r="V205" s="4"/>
      <c r="W205" s="4"/>
      <c r="X205" s="4"/>
      <c r="Y205" s="4"/>
    </row>
    <row r="206" spans="1:25" s="14" customFormat="1" x14ac:dyDescent="0.2">
      <c r="A206" s="4"/>
      <c r="B206" s="40" t="s">
        <v>35</v>
      </c>
      <c r="C206" s="634" t="str">
        <f t="shared" si="30"/>
        <v>Other Wastewater</v>
      </c>
      <c r="D206" s="625"/>
      <c r="E206" s="246" t="s">
        <v>210</v>
      </c>
      <c r="F206" s="243">
        <f>((SUMIF('Unit Rates'!$J:$J,O206,'Unit Rates'!$F:$F))*F166*1000000)+N166*$L$9</f>
        <v>0</v>
      </c>
      <c r="G206" s="243">
        <f>((SUMIF('Unit Rates'!$J:$J,P206,'Unit Rates'!$F:$F))*G166*1000000)+O166*$L$9</f>
        <v>0</v>
      </c>
      <c r="H206" s="243">
        <f>((SUMIF('Unit Rates'!$J:$J,Q206,'Unit Rates'!$F:$F))*H166*1000000)+P166*$L$9</f>
        <v>0</v>
      </c>
      <c r="I206" s="243">
        <f>((SUMIF('Unit Rates'!$J:$J,R206,'Unit Rates'!$F:$F))*I166*1000000)+Q166*$L$9</f>
        <v>0</v>
      </c>
      <c r="J206" s="244">
        <f>((SUMIF('Unit Rates'!$J:$J,S206,'Unit Rates'!$F:$F))*J166*1000000)+R166*$L$9</f>
        <v>0</v>
      </c>
      <c r="K206" s="485"/>
      <c r="L206" s="4"/>
      <c r="M206" s="4"/>
      <c r="N206" s="431" t="s">
        <v>197</v>
      </c>
      <c r="O206" s="249" t="str">
        <f>'Unit Rates'!$I$49&amp;" - "&amp;VLOOKUP(F$122,$N$192:$O$197,2,FALSE)&amp;" - "&amp;$L$7</f>
        <v xml:space="preserve">Disposal of wastewater and drilling muds - 0g/L - </v>
      </c>
      <c r="P206" s="249" t="str">
        <f>'Unit Rates'!$I$49&amp;" - "&amp;VLOOKUP(G$122,$N$192:$O$197,2,FALSE)&amp;" - "&amp;$L$7</f>
        <v xml:space="preserve">Disposal of wastewater and drilling muds - 0g/L - </v>
      </c>
      <c r="Q206" s="249" t="str">
        <f>'Unit Rates'!$I$49&amp;" - "&amp;VLOOKUP(H$122,$N$192:$O$197,2,FALSE)&amp;" - "&amp;$L$7</f>
        <v xml:space="preserve">Disposal of wastewater and drilling muds - 0g/L - </v>
      </c>
      <c r="R206" s="249" t="str">
        <f>'Unit Rates'!$I$49&amp;" - "&amp;VLOOKUP(I$122,$N$192:$O$197,2,FALSE)&amp;" - "&amp;$L$7</f>
        <v xml:space="preserve">Disposal of wastewater and drilling muds - 0g/L - </v>
      </c>
      <c r="S206" s="430" t="str">
        <f>'Unit Rates'!$I$49&amp;" - "&amp;VLOOKUP(J$122,$N$192:$O$197,2,FALSE)&amp;" - "&amp;$L$7</f>
        <v xml:space="preserve">Disposal of wastewater and drilling muds - 0g/L - </v>
      </c>
      <c r="T206" s="4"/>
      <c r="U206" s="4"/>
      <c r="V206" s="4"/>
      <c r="W206" s="4"/>
      <c r="X206" s="4"/>
      <c r="Y206" s="4"/>
    </row>
    <row r="207" spans="1:25" s="14" customFormat="1" x14ac:dyDescent="0.2">
      <c r="A207" s="4"/>
      <c r="B207" s="40" t="s">
        <v>35</v>
      </c>
      <c r="C207" s="619" t="str">
        <f t="shared" si="30"/>
        <v>Drilling Muds and Cuttings</v>
      </c>
      <c r="D207" s="631"/>
      <c r="E207" s="246" t="s">
        <v>210</v>
      </c>
      <c r="F207" s="243">
        <f>((SUMIF('Unit Rates'!$J:$J,O207,'Unit Rates'!$F:$F))*F167*1000)+N167*$L$9</f>
        <v>0</v>
      </c>
      <c r="G207" s="243">
        <f>((SUMIF('Unit Rates'!$J:$J,P207,'Unit Rates'!$F:$F))*G167*1000)+O167*$L$9</f>
        <v>0</v>
      </c>
      <c r="H207" s="243">
        <f>((SUMIF('Unit Rates'!$J:$J,Q207,'Unit Rates'!$F:$F))*H167*1000)+P167*$L$9</f>
        <v>0</v>
      </c>
      <c r="I207" s="243">
        <f>((SUMIF('Unit Rates'!$J:$J,R207,'Unit Rates'!$F:$F))*I167*1000)+Q167*$L$9</f>
        <v>0</v>
      </c>
      <c r="J207" s="244">
        <f>((SUMIF('Unit Rates'!$J:$J,S207,'Unit Rates'!$F:$F))*J167*1000)+R167*$L$9</f>
        <v>0</v>
      </c>
      <c r="K207" s="485"/>
      <c r="L207" s="4"/>
      <c r="M207" s="4"/>
      <c r="N207" s="432" t="s">
        <v>201</v>
      </c>
      <c r="O207" s="433" t="str">
        <f>'Unit Rates'!$I$49&amp;" - "&amp;VLOOKUP(F$127,$N$192:$O$197,2,FALSE)&amp;" - "&amp;$L$7</f>
        <v xml:space="preserve">Disposal of wastewater and drilling muds - 0g/L - </v>
      </c>
      <c r="P207" s="433" t="str">
        <f>'Unit Rates'!$I$49&amp;" - "&amp;VLOOKUP(G$127,$N$192:$O$197,2,FALSE)&amp;" - "&amp;$L$7</f>
        <v xml:space="preserve">Disposal of wastewater and drilling muds - 0g/L - </v>
      </c>
      <c r="Q207" s="433" t="str">
        <f>'Unit Rates'!$I$49&amp;" - "&amp;VLOOKUP(H$127,$N$192:$O$197,2,FALSE)&amp;" - "&amp;$L$7</f>
        <v xml:space="preserve">Disposal of wastewater and drilling muds - 0g/L - </v>
      </c>
      <c r="R207" s="433" t="str">
        <f>'Unit Rates'!$I$49&amp;" - "&amp;VLOOKUP(I$127,$N$192:$O$197,2,FALSE)&amp;" - "&amp;$L$7</f>
        <v xml:space="preserve">Disposal of wastewater and drilling muds - 0g/L - </v>
      </c>
      <c r="S207" s="434" t="str">
        <f>'Unit Rates'!$I$49&amp;" - "&amp;VLOOKUP(J$127,$N$192:$O$197,2,FALSE)&amp;" - "&amp;$L$7</f>
        <v xml:space="preserve">Disposal of wastewater and drilling muds - 0g/L - </v>
      </c>
      <c r="T207" s="4"/>
      <c r="U207" s="4"/>
      <c r="V207" s="4"/>
      <c r="W207" s="4"/>
      <c r="X207" s="4"/>
      <c r="Y207" s="4"/>
    </row>
    <row r="208" spans="1:25" s="14" customFormat="1" x14ac:dyDescent="0.2">
      <c r="A208" s="4"/>
      <c r="B208" s="40" t="s">
        <v>35</v>
      </c>
      <c r="C208" s="619" t="str">
        <f t="shared" si="30"/>
        <v>Liners</v>
      </c>
      <c r="D208" s="620"/>
      <c r="E208" s="246">
        <f>SUMIF('Unit Rates'!J:J,$C208,'Unit Rates'!F:F)</f>
        <v>9576</v>
      </c>
      <c r="F208" s="243">
        <f>$E208*F168</f>
        <v>0</v>
      </c>
      <c r="G208" s="243">
        <f>$E208*G168</f>
        <v>0</v>
      </c>
      <c r="H208" s="243">
        <f>$E208*H168</f>
        <v>0</v>
      </c>
      <c r="I208" s="243">
        <f>$E208*I168</f>
        <v>0</v>
      </c>
      <c r="J208" s="244">
        <f>$E208*J168</f>
        <v>0</v>
      </c>
      <c r="K208" s="485"/>
      <c r="L208" s="4"/>
      <c r="M208" s="4"/>
      <c r="N208" s="4"/>
      <c r="O208" s="4"/>
      <c r="P208" s="4"/>
      <c r="Q208" s="4"/>
      <c r="R208" s="4"/>
      <c r="S208" s="4"/>
      <c r="T208" s="4"/>
      <c r="U208" s="4"/>
      <c r="V208" s="4"/>
      <c r="W208" s="4"/>
      <c r="X208" s="4"/>
      <c r="Y208" s="4"/>
    </row>
    <row r="209" spans="1:25" s="14" customFormat="1" ht="15" thickBot="1" x14ac:dyDescent="0.25">
      <c r="A209" s="4"/>
      <c r="B209" s="42" t="s">
        <v>35</v>
      </c>
      <c r="C209" s="632" t="str">
        <f t="shared" si="30"/>
        <v>Well pad materials</v>
      </c>
      <c r="D209" s="633"/>
      <c r="E209" s="248">
        <f>SUMIF('Unit Rates'!J:J,$C209,'Unit Rates'!F:F)</f>
        <v>240</v>
      </c>
      <c r="F209" s="245">
        <f>(CEILING(F169/37,1)*'Unit Rates'!$F$48)*$L$6+($E209*F169)</f>
        <v>0</v>
      </c>
      <c r="G209" s="245">
        <f>(CEILING(G169/37,1)*'Unit Rates'!$F$48)*$L$6+($E209*G169)</f>
        <v>0</v>
      </c>
      <c r="H209" s="245">
        <f>(CEILING(H169/37,1)*'Unit Rates'!$F$48)*$L$6+($E209*H169)</f>
        <v>0</v>
      </c>
      <c r="I209" s="245">
        <f>(CEILING(I169/37,1)*'Unit Rates'!$F$48)*$L$6+($E209*I169)</f>
        <v>0</v>
      </c>
      <c r="J209" s="245">
        <f>(CEILING(J169/37,1)*'Unit Rates'!$F$48)*$L$6+($E209*J169)</f>
        <v>0</v>
      </c>
      <c r="K209" s="203"/>
      <c r="L209" s="4"/>
      <c r="M209" s="4"/>
      <c r="N209" s="4"/>
      <c r="O209" s="4"/>
      <c r="P209" s="4"/>
      <c r="Q209" s="4"/>
      <c r="R209" s="4"/>
      <c r="S209" s="4"/>
      <c r="T209" s="4"/>
      <c r="U209" s="4"/>
      <c r="V209" s="4"/>
      <c r="W209" s="4"/>
      <c r="X209" s="4"/>
      <c r="Y209" s="4"/>
    </row>
    <row r="210" spans="1:25" s="14" customFormat="1" x14ac:dyDescent="0.2">
      <c r="A210" s="4"/>
      <c r="C210" s="454"/>
      <c r="D210" s="454"/>
      <c r="E210" s="485"/>
      <c r="F210" s="485"/>
      <c r="G210" s="485"/>
      <c r="H210" s="485"/>
      <c r="I210" s="485"/>
      <c r="J210" s="485"/>
      <c r="K210" s="485"/>
      <c r="L210" s="4"/>
      <c r="M210" s="4"/>
      <c r="N210" s="4"/>
      <c r="O210" s="4"/>
      <c r="P210" s="4"/>
      <c r="Q210" s="4"/>
      <c r="R210" s="4"/>
      <c r="S210" s="4"/>
      <c r="T210" s="4"/>
      <c r="U210" s="4"/>
      <c r="V210" s="4"/>
      <c r="W210" s="4"/>
      <c r="X210" s="4"/>
      <c r="Y210" s="4"/>
    </row>
    <row r="211" spans="1:25" s="14" customFormat="1" ht="18" x14ac:dyDescent="0.2">
      <c r="A211" s="168"/>
      <c r="B211" s="76" t="s">
        <v>6</v>
      </c>
      <c r="C211" s="250"/>
      <c r="D211" s="169"/>
      <c r="E211" s="169"/>
      <c r="F211" s="169"/>
      <c r="G211" s="169"/>
      <c r="H211" s="169"/>
      <c r="I211" s="169"/>
      <c r="J211" s="169"/>
      <c r="K211" s="170"/>
      <c r="L211" s="168"/>
      <c r="M211" s="168"/>
      <c r="N211" s="168"/>
      <c r="O211" s="168"/>
      <c r="P211" s="168"/>
      <c r="Q211" s="168"/>
      <c r="R211" s="168"/>
      <c r="S211" s="168"/>
      <c r="T211" s="168"/>
      <c r="U211" s="4"/>
      <c r="V211" s="4"/>
      <c r="W211" s="4"/>
      <c r="X211" s="4"/>
      <c r="Y211" s="4"/>
    </row>
    <row r="212" spans="1:25" hidden="1" x14ac:dyDescent="0.2">
      <c r="R212" s="4"/>
      <c r="S212" s="4"/>
      <c r="T212" s="4"/>
      <c r="U212" s="4"/>
      <c r="V212" s="4"/>
      <c r="W212" s="4"/>
      <c r="X212" s="4"/>
      <c r="Y212" s="4"/>
    </row>
    <row r="213" spans="1:25" hidden="1" x14ac:dyDescent="0.2">
      <c r="R213" s="4"/>
      <c r="S213" s="4"/>
      <c r="T213" s="4"/>
      <c r="U213" s="4"/>
      <c r="V213" s="4"/>
      <c r="W213" s="4"/>
      <c r="X213" s="4"/>
      <c r="Y213" s="4"/>
    </row>
    <row r="214" spans="1:25" hidden="1" x14ac:dyDescent="0.2">
      <c r="R214" s="4"/>
      <c r="S214" s="4"/>
      <c r="T214" s="4"/>
      <c r="U214" s="4"/>
      <c r="V214" s="4"/>
      <c r="W214" s="4"/>
      <c r="X214" s="4"/>
      <c r="Y214" s="4"/>
    </row>
    <row r="215" spans="1:25" hidden="1" x14ac:dyDescent="0.2">
      <c r="R215" s="4"/>
      <c r="S215" s="4"/>
      <c r="T215" s="4"/>
      <c r="U215" s="4"/>
      <c r="V215" s="4"/>
      <c r="W215" s="4"/>
      <c r="X215" s="4"/>
      <c r="Y215" s="4"/>
    </row>
    <row r="216" spans="1:25" hidden="1" x14ac:dyDescent="0.2">
      <c r="R216" s="4"/>
      <c r="S216" s="4"/>
      <c r="T216" s="4"/>
      <c r="U216" s="4"/>
      <c r="V216" s="4"/>
      <c r="W216" s="4"/>
      <c r="X216" s="4"/>
      <c r="Y216" s="4"/>
    </row>
    <row r="217" spans="1:25" hidden="1" x14ac:dyDescent="0.2">
      <c r="R217" s="4"/>
      <c r="S217" s="4"/>
      <c r="T217" s="4"/>
      <c r="U217" s="4"/>
      <c r="V217" s="4"/>
      <c r="W217" s="4"/>
      <c r="X217" s="4"/>
      <c r="Y217" s="4"/>
    </row>
    <row r="218" spans="1:25" hidden="1" x14ac:dyDescent="0.2">
      <c r="R218" s="4"/>
      <c r="S218" s="4"/>
      <c r="T218" s="4"/>
      <c r="U218" s="4"/>
      <c r="V218" s="4"/>
      <c r="W218" s="4"/>
      <c r="X218" s="4"/>
      <c r="Y218" s="4"/>
    </row>
    <row r="219" spans="1:25" hidden="1" x14ac:dyDescent="0.2">
      <c r="R219" s="4"/>
      <c r="S219" s="4"/>
      <c r="T219" s="4"/>
      <c r="U219" s="4"/>
      <c r="V219" s="4"/>
      <c r="W219" s="4"/>
      <c r="X219" s="4"/>
      <c r="Y219" s="4"/>
    </row>
    <row r="220" spans="1:25" hidden="1" x14ac:dyDescent="0.2">
      <c r="R220" s="4"/>
      <c r="S220" s="4"/>
      <c r="T220" s="4"/>
      <c r="U220" s="4"/>
      <c r="V220" s="4"/>
      <c r="W220" s="4"/>
      <c r="X220" s="4"/>
      <c r="Y220" s="4"/>
    </row>
    <row r="221" spans="1:25" hidden="1" x14ac:dyDescent="0.2">
      <c r="R221" s="4"/>
      <c r="S221" s="4"/>
      <c r="T221" s="4"/>
      <c r="U221" s="4"/>
      <c r="V221" s="4"/>
      <c r="W221" s="4"/>
      <c r="X221" s="4"/>
      <c r="Y221" s="4"/>
    </row>
    <row r="222" spans="1:25" hidden="1" x14ac:dyDescent="0.2">
      <c r="R222" s="4"/>
      <c r="S222" s="4"/>
      <c r="T222" s="4"/>
      <c r="U222" s="4"/>
      <c r="V222" s="4"/>
      <c r="W222" s="4"/>
      <c r="X222" s="4"/>
      <c r="Y222" s="4"/>
    </row>
    <row r="223" spans="1:25" hidden="1" x14ac:dyDescent="0.2">
      <c r="R223" s="4"/>
      <c r="S223" s="4"/>
      <c r="T223" s="4"/>
      <c r="U223" s="4"/>
      <c r="V223" s="4"/>
      <c r="W223" s="4"/>
      <c r="X223" s="4"/>
      <c r="Y223" s="4"/>
    </row>
    <row r="224" spans="1:25" hidden="1" x14ac:dyDescent="0.2">
      <c r="R224" s="4"/>
      <c r="S224" s="4"/>
      <c r="T224" s="4"/>
      <c r="U224" s="4"/>
      <c r="V224" s="4"/>
      <c r="W224" s="4"/>
      <c r="X224" s="4"/>
      <c r="Y224" s="4"/>
    </row>
    <row r="225" x14ac:dyDescent="0.2"/>
  </sheetData>
  <sheetProtection algorithmName="SHA-512" hashValue="5MsNu1ey07q5CkJyuKbz6eCsWtYtRdHIoX4Lb4Tmu+NR9tBKs3skQi/7l3gZhiYp4N3607OtnAWkNrmkTnot0Q==" saltValue="xUEphUrkMjjKkm9/AlGP+Q==" spinCount="100000" sheet="1" objects="1" scenarios="1"/>
  <mergeCells count="147">
    <mergeCell ref="C206:D206"/>
    <mergeCell ref="C207:D207"/>
    <mergeCell ref="C208:D208"/>
    <mergeCell ref="C209:D209"/>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B168:D168"/>
    <mergeCell ref="B169:D169"/>
    <mergeCell ref="B172:D172"/>
    <mergeCell ref="C173:D173"/>
    <mergeCell ref="C174:D174"/>
    <mergeCell ref="C175:D175"/>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93:B97"/>
    <mergeCell ref="C93:C97"/>
    <mergeCell ref="K93:K97"/>
    <mergeCell ref="B98:B99"/>
    <mergeCell ref="C98:C99"/>
    <mergeCell ref="K98:K99"/>
    <mergeCell ref="B81:B85"/>
    <mergeCell ref="C81:C85"/>
    <mergeCell ref="K81:K85"/>
    <mergeCell ref="B86:B90"/>
    <mergeCell ref="C86:C90"/>
    <mergeCell ref="K86:K90"/>
    <mergeCell ref="B60:B62"/>
    <mergeCell ref="C60:C62"/>
    <mergeCell ref="K60:K62"/>
    <mergeCell ref="L60:L62"/>
    <mergeCell ref="B63:B65"/>
    <mergeCell ref="C63:C65"/>
    <mergeCell ref="K63:K65"/>
    <mergeCell ref="L63:L65"/>
    <mergeCell ref="B52:B55"/>
    <mergeCell ref="C52:C55"/>
    <mergeCell ref="K52:K55"/>
    <mergeCell ref="L52:L55"/>
    <mergeCell ref="B56:B59"/>
    <mergeCell ref="C56:C59"/>
    <mergeCell ref="K56:K59"/>
    <mergeCell ref="L56:L59"/>
    <mergeCell ref="B46:B48"/>
    <mergeCell ref="C46:C48"/>
    <mergeCell ref="K46:K48"/>
    <mergeCell ref="L46:L48"/>
    <mergeCell ref="B49:B51"/>
    <mergeCell ref="C49:C51"/>
    <mergeCell ref="K49:K51"/>
    <mergeCell ref="L49:L51"/>
    <mergeCell ref="B40:B42"/>
    <mergeCell ref="C40:C42"/>
    <mergeCell ref="K40:K42"/>
    <mergeCell ref="L40:L42"/>
    <mergeCell ref="B43:B45"/>
    <mergeCell ref="C43:C45"/>
    <mergeCell ref="K43:K45"/>
    <mergeCell ref="L43:L45"/>
    <mergeCell ref="B37:B39"/>
    <mergeCell ref="C37:C39"/>
    <mergeCell ref="K37:K39"/>
    <mergeCell ref="L37:L39"/>
    <mergeCell ref="B26:B28"/>
    <mergeCell ref="C26:C28"/>
    <mergeCell ref="K26:K28"/>
    <mergeCell ref="L26:L28"/>
    <mergeCell ref="B31:B33"/>
    <mergeCell ref="C31:C33"/>
    <mergeCell ref="K31:K33"/>
    <mergeCell ref="L31:L33"/>
    <mergeCell ref="B3:G3"/>
    <mergeCell ref="B4:G16"/>
    <mergeCell ref="I11:L11"/>
    <mergeCell ref="I12:L15"/>
    <mergeCell ref="B19:L20"/>
    <mergeCell ref="B21:L22"/>
    <mergeCell ref="B34:B36"/>
    <mergeCell ref="C34:C36"/>
    <mergeCell ref="K34:K36"/>
    <mergeCell ref="L34:L36"/>
    <mergeCell ref="I5:K5"/>
    <mergeCell ref="I6:K6"/>
    <mergeCell ref="I7:K7"/>
    <mergeCell ref="I8:K8"/>
    <mergeCell ref="I9:K9"/>
  </mergeCells>
  <dataValidations count="2">
    <dataValidation type="list" allowBlank="1" showInputMessage="1" showErrorMessage="1" sqref="F117:J117 F112:J112 F127:J127 F122:J122">
      <formula1>"0,1,2,3,4,5"</formula1>
    </dataValidation>
    <dataValidation type="list" allowBlank="1" showInputMessage="1" showErrorMessage="1" sqref="L7">
      <formula1>" ,HydrEra Facility,Westrex Facility"</formula1>
    </dataValidation>
  </dataValidations>
  <pageMargins left="0.25" right="0.25" top="0.75" bottom="0.75" header="0.3" footer="0.3"/>
  <pageSetup paperSize="8"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E67F4F76E1746A2FD05C17CAAB04B" ma:contentTypeVersion="6" ma:contentTypeDescription="Create a new document." ma:contentTypeScope="" ma:versionID="883becc983e1906da993f0ce8b7cd0c5">
  <xsd:schema xmlns:xsd="http://www.w3.org/2001/XMLSchema" xmlns:xs="http://www.w3.org/2001/XMLSchema" xmlns:p="http://schemas.microsoft.com/office/2006/metadata/properties" xmlns:ns2="80eb1c0c-fa74-41a4-84c5-379544b59c1d" xmlns:ns3="1713456d-1b38-417d-9451-84a77b28c1b6" targetNamespace="http://schemas.microsoft.com/office/2006/metadata/properties" ma:root="true" ma:fieldsID="457c097e6c1658edb32785bea3c73390" ns2:_="" ns3:_="">
    <xsd:import namespace="80eb1c0c-fa74-41a4-84c5-379544b59c1d"/>
    <xsd:import namespace="1713456d-1b38-417d-9451-84a77b28c1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eb1c0c-fa74-41a4-84c5-379544b59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13456d-1b38-417d-9451-84a77b28c1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5E1503-B250-4DAA-82F5-37FBB967F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eb1c0c-fa74-41a4-84c5-379544b59c1d"/>
    <ds:schemaRef ds:uri="1713456d-1b38-417d-9451-84a77b28c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719C71-9743-4198-A38E-CDA9F7A6E005}">
  <ds:schemaRefs>
    <ds:schemaRef ds:uri="http://schemas.microsoft.com/sharepoint/v3/contenttype/forms"/>
  </ds:schemaRefs>
</ds:datastoreItem>
</file>

<file path=customXml/itemProps3.xml><?xml version="1.0" encoding="utf-8"?>
<ds:datastoreItem xmlns:ds="http://schemas.openxmlformats.org/officeDocument/2006/customXml" ds:itemID="{8DCAC01F-E863-4732-8282-F1585B569E63}">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80eb1c0c-fa74-41a4-84c5-379544b59c1d"/>
    <ds:schemaRef ds:uri="1713456d-1b38-417d-9451-84a77b28c1b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Introduction</vt:lpstr>
      <vt:lpstr>Summary</vt:lpstr>
      <vt:lpstr>Unit Rates</vt:lpstr>
      <vt:lpstr>Inputs --&gt;</vt:lpstr>
      <vt:lpstr>Title_01</vt:lpstr>
      <vt:lpstr>Title_02</vt:lpstr>
      <vt:lpstr>Title_03</vt:lpstr>
      <vt:lpstr>Title_04</vt:lpstr>
      <vt:lpstr>Title_05</vt:lpstr>
      <vt:lpstr>Title_06</vt:lpstr>
      <vt:lpstr>Introduction!Print_Area</vt:lpstr>
      <vt:lpstr>Title_01!Print_Area</vt:lpstr>
      <vt:lpstr>Title_02!Print_Area</vt:lpstr>
      <vt:lpstr>Title_03!Print_Area</vt:lpstr>
      <vt:lpstr>Title_04!Print_Area</vt:lpstr>
      <vt:lpstr>Title_05!Print_Area</vt:lpstr>
      <vt:lpstr>Title_06!Print_Area</vt:lpstr>
      <vt:lpstr>'Unit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Petroleum Operations DEPWS</dc:creator>
  <cp:keywords/>
  <dc:description/>
  <cp:lastModifiedBy>Todd Jenkins</cp:lastModifiedBy>
  <cp:revision/>
  <cp:lastPrinted>2024-07-10T06:57:13Z</cp:lastPrinted>
  <dcterms:created xsi:type="dcterms:W3CDTF">2023-04-10T23:23:19Z</dcterms:created>
  <dcterms:modified xsi:type="dcterms:W3CDTF">2024-07-31T04:22:50Z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2024-04-17T02:51:24Z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f1c897a1-14e3-47e1-bbf5-c3f2e9b8d274</vt:lpwstr>
  </property>
  <property fmtid="{D5CDD505-2E9C-101B-9397-08002B2CF9AE}" pid="8" name="MSIP_Label_ea60d57e-af5b-4752-ac57-3e4f28ca11dc_ContentBits">
    <vt:lpwstr>0</vt:lpwstr>
  </property>
  <property fmtid="{D5CDD505-2E9C-101B-9397-08002B2CF9AE}" pid="9" name="ContentTypeId">
    <vt:lpwstr>0x01010029BE67F4F76E1746A2FD05C17CAAB04B</vt:lpwstr>
  </property>
</Properties>
</file>